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4915" windowHeight="12300"/>
  </bookViews>
  <sheets>
    <sheet name="SFH ANALYSIS" sheetId="1" r:id="rId1"/>
  </sheets>
  <calcPr calcId="145621"/>
</workbook>
</file>

<file path=xl/calcChain.xml><?xml version="1.0" encoding="utf-8"?>
<calcChain xmlns="http://schemas.openxmlformats.org/spreadsheetml/2006/main">
  <c r="F32" i="1" l="1"/>
  <c r="F31" i="1"/>
  <c r="F28" i="1"/>
  <c r="F27" i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F26" i="1"/>
  <c r="F25" i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F24" i="1"/>
  <c r="F23" i="1"/>
  <c r="G23" i="1" s="1"/>
  <c r="F18" i="1"/>
  <c r="E18" i="1"/>
  <c r="E17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G30" i="1" s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V12" i="1" s="1"/>
  <c r="D7" i="1"/>
  <c r="D8" i="1" s="1"/>
  <c r="H5" i="1"/>
  <c r="H9" i="1" s="1"/>
  <c r="D5" i="1"/>
  <c r="H4" i="1"/>
  <c r="H8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D4" i="1"/>
  <c r="V25" i="1" l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V27" i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V13" i="1"/>
  <c r="G24" i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G26" i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G28" i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E19" i="1"/>
  <c r="F17" i="1"/>
  <c r="E20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F50" i="1" s="1"/>
  <c r="F51" i="1" s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H30" i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H23" i="1"/>
  <c r="G32" i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G31" i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G50" i="1" l="1"/>
  <c r="G51" i="1" s="1"/>
  <c r="V24" i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I23" i="1"/>
  <c r="F19" i="1"/>
  <c r="F20" i="1" s="1"/>
  <c r="G17" i="1"/>
  <c r="H50" i="1"/>
  <c r="H51" i="1" s="1"/>
  <c r="F29" i="1" l="1"/>
  <c r="F33" i="1" s="1"/>
  <c r="F34" i="1" s="1"/>
  <c r="G19" i="1"/>
  <c r="G20" i="1" s="1"/>
  <c r="H17" i="1"/>
  <c r="J23" i="1"/>
  <c r="I50" i="1"/>
  <c r="K23" i="1" l="1"/>
  <c r="G29" i="1"/>
  <c r="G33" i="1" s="1"/>
  <c r="G34" i="1" s="1"/>
  <c r="I51" i="1"/>
  <c r="J50" i="1"/>
  <c r="H19" i="1"/>
  <c r="H20" i="1" s="1"/>
  <c r="I17" i="1"/>
  <c r="F36" i="1"/>
  <c r="F39" i="1" s="1"/>
  <c r="H29" i="1" l="1"/>
  <c r="H33" i="1" s="1"/>
  <c r="H34" i="1" s="1"/>
  <c r="H36" i="1"/>
  <c r="H39" i="1" s="1"/>
  <c r="F47" i="1"/>
  <c r="F41" i="1"/>
  <c r="E39" i="1"/>
  <c r="E41" i="1" s="1"/>
  <c r="J51" i="1"/>
  <c r="K50" i="1"/>
  <c r="L23" i="1"/>
  <c r="I19" i="1"/>
  <c r="J17" i="1"/>
  <c r="I20" i="1"/>
  <c r="G36" i="1"/>
  <c r="G39" i="1" s="1"/>
  <c r="I29" i="1" l="1"/>
  <c r="I33" i="1" s="1"/>
  <c r="I34" i="1" s="1"/>
  <c r="F44" i="1"/>
  <c r="F42" i="1"/>
  <c r="L8" i="1" s="1"/>
  <c r="L7" i="1"/>
  <c r="P7" i="1" s="1"/>
  <c r="P8" i="1" s="1"/>
  <c r="H47" i="1"/>
  <c r="H41" i="1"/>
  <c r="G47" i="1"/>
  <c r="G41" i="1"/>
  <c r="J19" i="1"/>
  <c r="J20" i="1" s="1"/>
  <c r="K17" i="1"/>
  <c r="M23" i="1"/>
  <c r="K51" i="1"/>
  <c r="L50" i="1"/>
  <c r="L51" i="1" l="1"/>
  <c r="M50" i="1"/>
  <c r="N23" i="1"/>
  <c r="K19" i="1"/>
  <c r="L17" i="1"/>
  <c r="K20" i="1"/>
  <c r="J29" i="1"/>
  <c r="J33" i="1" s="1"/>
  <c r="J34" i="1" s="1"/>
  <c r="G44" i="1"/>
  <c r="G45" i="1" s="1"/>
  <c r="G42" i="1"/>
  <c r="H44" i="1"/>
  <c r="H45" i="1" s="1"/>
  <c r="H42" i="1"/>
  <c r="F45" i="1"/>
  <c r="L9" i="1" s="1"/>
  <c r="P9" i="1"/>
  <c r="I36" i="1"/>
  <c r="I39" i="1" s="1"/>
  <c r="I47" i="1" l="1"/>
  <c r="I41" i="1"/>
  <c r="L19" i="1"/>
  <c r="L20" i="1" s="1"/>
  <c r="M17" i="1"/>
  <c r="O23" i="1"/>
  <c r="M51" i="1"/>
  <c r="N50" i="1"/>
  <c r="K29" i="1"/>
  <c r="K33" i="1" s="1"/>
  <c r="K34" i="1" s="1"/>
  <c r="J36" i="1"/>
  <c r="J39" i="1" s="1"/>
  <c r="K36" i="1" l="1"/>
  <c r="K39" i="1" s="1"/>
  <c r="L29" i="1"/>
  <c r="L33" i="1" s="1"/>
  <c r="L34" i="1" s="1"/>
  <c r="J47" i="1"/>
  <c r="J41" i="1"/>
  <c r="K47" i="1"/>
  <c r="K41" i="1"/>
  <c r="I44" i="1"/>
  <c r="I45" i="1" s="1"/>
  <c r="I42" i="1"/>
  <c r="N51" i="1"/>
  <c r="O50" i="1"/>
  <c r="P23" i="1"/>
  <c r="M19" i="1"/>
  <c r="N17" i="1"/>
  <c r="M20" i="1"/>
  <c r="M29" i="1" l="1"/>
  <c r="M33" i="1" s="1"/>
  <c r="M34" i="1" s="1"/>
  <c r="N19" i="1"/>
  <c r="N20" i="1" s="1"/>
  <c r="O17" i="1"/>
  <c r="Q23" i="1"/>
  <c r="O51" i="1"/>
  <c r="P50" i="1"/>
  <c r="K44" i="1"/>
  <c r="K45" i="1" s="1"/>
  <c r="K42" i="1"/>
  <c r="J44" i="1"/>
  <c r="J45" i="1" s="1"/>
  <c r="J42" i="1"/>
  <c r="L36" i="1"/>
  <c r="L39" i="1" s="1"/>
  <c r="N29" i="1" l="1"/>
  <c r="N33" i="1" s="1"/>
  <c r="N34" i="1" s="1"/>
  <c r="L47" i="1"/>
  <c r="L41" i="1"/>
  <c r="P51" i="1"/>
  <c r="Q50" i="1"/>
  <c r="R23" i="1"/>
  <c r="O19" i="1"/>
  <c r="O20" i="1" s="1"/>
  <c r="P17" i="1"/>
  <c r="M36" i="1"/>
  <c r="M39" i="1" s="1"/>
  <c r="O29" i="1" l="1"/>
  <c r="O33" i="1" s="1"/>
  <c r="O34" i="1" s="1"/>
  <c r="M47" i="1"/>
  <c r="M41" i="1"/>
  <c r="P19" i="1"/>
  <c r="P20" i="1" s="1"/>
  <c r="Q17" i="1"/>
  <c r="S23" i="1"/>
  <c r="Q51" i="1"/>
  <c r="R50" i="1"/>
  <c r="L44" i="1"/>
  <c r="L45" i="1" s="1"/>
  <c r="L42" i="1"/>
  <c r="N36" i="1"/>
  <c r="N39" i="1" s="1"/>
  <c r="P29" i="1" l="1"/>
  <c r="P33" i="1" s="1"/>
  <c r="P34" i="1" s="1"/>
  <c r="R51" i="1"/>
  <c r="S50" i="1"/>
  <c r="T23" i="1"/>
  <c r="Q19" i="1"/>
  <c r="R17" i="1"/>
  <c r="Q20" i="1"/>
  <c r="O36" i="1"/>
  <c r="O39" i="1" s="1"/>
  <c r="N47" i="1"/>
  <c r="N41" i="1"/>
  <c r="M44" i="1"/>
  <c r="M45" i="1" s="1"/>
  <c r="M42" i="1"/>
  <c r="P36" i="1" l="1"/>
  <c r="P39" i="1" s="1"/>
  <c r="P47" i="1" s="1"/>
  <c r="N44" i="1"/>
  <c r="N45" i="1" s="1"/>
  <c r="N42" i="1"/>
  <c r="O47" i="1"/>
  <c r="O41" i="1"/>
  <c r="R19" i="1"/>
  <c r="R20" i="1" s="1"/>
  <c r="S17" i="1"/>
  <c r="U23" i="1"/>
  <c r="S51" i="1"/>
  <c r="T50" i="1"/>
  <c r="P41" i="1"/>
  <c r="Q29" i="1"/>
  <c r="Q33" i="1" s="1"/>
  <c r="Q34" i="1" s="1"/>
  <c r="P44" i="1" l="1"/>
  <c r="P45" i="1" s="1"/>
  <c r="P42" i="1"/>
  <c r="T51" i="1"/>
  <c r="U50" i="1"/>
  <c r="V23" i="1"/>
  <c r="S19" i="1"/>
  <c r="T17" i="1"/>
  <c r="S20" i="1"/>
  <c r="R29" i="1"/>
  <c r="R33" i="1" s="1"/>
  <c r="R34" i="1" s="1"/>
  <c r="O44" i="1"/>
  <c r="O45" i="1" s="1"/>
  <c r="O42" i="1"/>
  <c r="Q36" i="1"/>
  <c r="Q39" i="1" s="1"/>
  <c r="R36" i="1" l="1"/>
  <c r="R39" i="1" s="1"/>
  <c r="R47" i="1" s="1"/>
  <c r="R41" i="1"/>
  <c r="S29" i="1"/>
  <c r="S33" i="1" s="1"/>
  <c r="S34" i="1" s="1"/>
  <c r="Q47" i="1"/>
  <c r="Q41" i="1"/>
  <c r="T19" i="1"/>
  <c r="T20" i="1" s="1"/>
  <c r="U17" i="1"/>
  <c r="W23" i="1"/>
  <c r="U51" i="1"/>
  <c r="V50" i="1"/>
  <c r="T29" i="1" l="1"/>
  <c r="T33" i="1" s="1"/>
  <c r="T34" i="1" s="1"/>
  <c r="V51" i="1"/>
  <c r="W50" i="1"/>
  <c r="X23" i="1"/>
  <c r="U19" i="1"/>
  <c r="U20" i="1" s="1"/>
  <c r="V17" i="1"/>
  <c r="S36" i="1"/>
  <c r="S39" i="1" s="1"/>
  <c r="Q44" i="1"/>
  <c r="Q45" i="1" s="1"/>
  <c r="Q42" i="1"/>
  <c r="R44" i="1"/>
  <c r="R45" i="1" s="1"/>
  <c r="R42" i="1"/>
  <c r="U29" i="1" l="1"/>
  <c r="U33" i="1" s="1"/>
  <c r="U34" i="1" s="1"/>
  <c r="S47" i="1"/>
  <c r="S41" i="1"/>
  <c r="V19" i="1"/>
  <c r="V20" i="1" s="1"/>
  <c r="W17" i="1"/>
  <c r="Y23" i="1"/>
  <c r="W51" i="1"/>
  <c r="X50" i="1"/>
  <c r="T36" i="1"/>
  <c r="T39" i="1" s="1"/>
  <c r="V29" i="1" l="1"/>
  <c r="V33" i="1" s="1"/>
  <c r="V34" i="1" s="1"/>
  <c r="T47" i="1"/>
  <c r="T41" i="1"/>
  <c r="X51" i="1"/>
  <c r="Y50" i="1"/>
  <c r="Z23" i="1"/>
  <c r="W19" i="1"/>
  <c r="X17" i="1"/>
  <c r="W20" i="1"/>
  <c r="U36" i="1"/>
  <c r="U39" i="1" s="1"/>
  <c r="S44" i="1"/>
  <c r="S45" i="1" s="1"/>
  <c r="S42" i="1"/>
  <c r="W29" i="1" l="1"/>
  <c r="W33" i="1" s="1"/>
  <c r="W34" i="1" s="1"/>
  <c r="U47" i="1"/>
  <c r="U41" i="1"/>
  <c r="X19" i="1"/>
  <c r="X20" i="1" s="1"/>
  <c r="Y17" i="1"/>
  <c r="AA23" i="1"/>
  <c r="Y51" i="1"/>
  <c r="Z50" i="1"/>
  <c r="T44" i="1"/>
  <c r="T45" i="1" s="1"/>
  <c r="T42" i="1"/>
  <c r="V36" i="1"/>
  <c r="V39" i="1" s="1"/>
  <c r="X29" i="1" l="1"/>
  <c r="X33" i="1" s="1"/>
  <c r="X34" i="1" s="1"/>
  <c r="Z51" i="1"/>
  <c r="AA50" i="1"/>
  <c r="AB23" i="1"/>
  <c r="Y19" i="1"/>
  <c r="Y20" i="1" s="1"/>
  <c r="Z17" i="1"/>
  <c r="W36" i="1"/>
  <c r="W39" i="1" s="1"/>
  <c r="V47" i="1"/>
  <c r="V41" i="1"/>
  <c r="U44" i="1"/>
  <c r="U45" i="1" s="1"/>
  <c r="U42" i="1"/>
  <c r="Y29" i="1" l="1"/>
  <c r="Y33" i="1" s="1"/>
  <c r="Y34" i="1" s="1"/>
  <c r="V44" i="1"/>
  <c r="V45" i="1" s="1"/>
  <c r="V42" i="1"/>
  <c r="W47" i="1"/>
  <c r="W41" i="1"/>
  <c r="Z19" i="1"/>
  <c r="Z20" i="1" s="1"/>
  <c r="AA17" i="1"/>
  <c r="AC23" i="1"/>
  <c r="AA51" i="1"/>
  <c r="AB50" i="1"/>
  <c r="X36" i="1"/>
  <c r="X39" i="1" s="1"/>
  <c r="AB51" i="1" l="1"/>
  <c r="AC50" i="1"/>
  <c r="AD23" i="1"/>
  <c r="AA19" i="1"/>
  <c r="AA20" i="1" s="1"/>
  <c r="AB17" i="1"/>
  <c r="Z29" i="1"/>
  <c r="Z33" i="1" s="1"/>
  <c r="Z34" i="1" s="1"/>
  <c r="Z36" i="1"/>
  <c r="Z39" i="1" s="1"/>
  <c r="Y36" i="1"/>
  <c r="Y39" i="1" s="1"/>
  <c r="X47" i="1"/>
  <c r="X41" i="1"/>
  <c r="W44" i="1"/>
  <c r="W45" i="1" s="1"/>
  <c r="W42" i="1"/>
  <c r="Z47" i="1" l="1"/>
  <c r="Z41" i="1"/>
  <c r="AA29" i="1"/>
  <c r="AA33" i="1" s="1"/>
  <c r="AA34" i="1" s="1"/>
  <c r="X44" i="1"/>
  <c r="X45" i="1" s="1"/>
  <c r="X42" i="1"/>
  <c r="Y47" i="1"/>
  <c r="Y41" i="1"/>
  <c r="AB19" i="1"/>
  <c r="AB20" i="1" s="1"/>
  <c r="AC17" i="1"/>
  <c r="AE23" i="1"/>
  <c r="AC51" i="1"/>
  <c r="AD50" i="1"/>
  <c r="AB29" i="1" l="1"/>
  <c r="AB33" i="1" s="1"/>
  <c r="AB34" i="1" s="1"/>
  <c r="AD51" i="1"/>
  <c r="AE50" i="1"/>
  <c r="AF23" i="1"/>
  <c r="AC19" i="1"/>
  <c r="AC20" i="1" s="1"/>
  <c r="AD17" i="1"/>
  <c r="AA36" i="1"/>
  <c r="AA39" i="1" s="1"/>
  <c r="Y44" i="1"/>
  <c r="Y45" i="1" s="1"/>
  <c r="Y42" i="1"/>
  <c r="Z44" i="1"/>
  <c r="Z45" i="1" s="1"/>
  <c r="Z42" i="1"/>
  <c r="AC29" i="1" l="1"/>
  <c r="AC33" i="1" s="1"/>
  <c r="AC34" i="1" s="1"/>
  <c r="AA47" i="1"/>
  <c r="AA41" i="1"/>
  <c r="AD19" i="1"/>
  <c r="AD20" i="1" s="1"/>
  <c r="AE17" i="1"/>
  <c r="AG23" i="1"/>
  <c r="AE51" i="1"/>
  <c r="AF50" i="1"/>
  <c r="AB36" i="1"/>
  <c r="AB39" i="1" s="1"/>
  <c r="AD29" i="1" l="1"/>
  <c r="AD33" i="1" s="1"/>
  <c r="AD34" i="1" s="1"/>
  <c r="AB47" i="1"/>
  <c r="AB41" i="1"/>
  <c r="AF51" i="1"/>
  <c r="AG50" i="1"/>
  <c r="AH23" i="1"/>
  <c r="AE19" i="1"/>
  <c r="AE20" i="1" s="1"/>
  <c r="AF17" i="1"/>
  <c r="AC36" i="1"/>
  <c r="AC39" i="1" s="1"/>
  <c r="AA44" i="1"/>
  <c r="AA45" i="1" s="1"/>
  <c r="AA42" i="1"/>
  <c r="AE29" i="1" l="1"/>
  <c r="AE33" i="1" s="1"/>
  <c r="AE34" i="1" s="1"/>
  <c r="AC47" i="1"/>
  <c r="AC41" i="1"/>
  <c r="AF19" i="1"/>
  <c r="AF20" i="1" s="1"/>
  <c r="AG17" i="1"/>
  <c r="AI23" i="1"/>
  <c r="AG51" i="1"/>
  <c r="AH50" i="1"/>
  <c r="AB44" i="1"/>
  <c r="AB45" i="1" s="1"/>
  <c r="AB42" i="1"/>
  <c r="AD36" i="1"/>
  <c r="AD39" i="1" s="1"/>
  <c r="AF29" i="1" l="1"/>
  <c r="AF33" i="1" s="1"/>
  <c r="AF34" i="1" s="1"/>
  <c r="AH51" i="1"/>
  <c r="AI50" i="1"/>
  <c r="AI51" i="1" s="1"/>
  <c r="AG19" i="1"/>
  <c r="AG20" i="1" s="1"/>
  <c r="AH17" i="1"/>
  <c r="AE36" i="1"/>
  <c r="AE39" i="1" s="1"/>
  <c r="AD47" i="1"/>
  <c r="AD41" i="1"/>
  <c r="AC44" i="1"/>
  <c r="AC45" i="1" s="1"/>
  <c r="AC42" i="1"/>
  <c r="AD44" i="1" l="1"/>
  <c r="AD45" i="1" s="1"/>
  <c r="AD42" i="1"/>
  <c r="AE47" i="1"/>
  <c r="AE41" i="1"/>
  <c r="AG29" i="1"/>
  <c r="AG33" i="1" s="1"/>
  <c r="AG34" i="1" s="1"/>
  <c r="AH19" i="1"/>
  <c r="AH20" i="1" s="1"/>
  <c r="AI17" i="1"/>
  <c r="AF36" i="1"/>
  <c r="AF39" i="1" s="1"/>
  <c r="AG36" i="1" l="1"/>
  <c r="AG39" i="1" s="1"/>
  <c r="AH29" i="1"/>
  <c r="AH33" i="1" s="1"/>
  <c r="AH34" i="1" s="1"/>
  <c r="AI19" i="1"/>
  <c r="AI20" i="1" s="1"/>
  <c r="AG47" i="1"/>
  <c r="AG41" i="1"/>
  <c r="AF47" i="1"/>
  <c r="AF41" i="1"/>
  <c r="AE44" i="1"/>
  <c r="AE45" i="1" s="1"/>
  <c r="AE42" i="1"/>
  <c r="AI29" i="1" l="1"/>
  <c r="AI33" i="1" s="1"/>
  <c r="AI34" i="1" s="1"/>
  <c r="AF44" i="1"/>
  <c r="AF45" i="1" s="1"/>
  <c r="AF42" i="1"/>
  <c r="AG44" i="1"/>
  <c r="AG45" i="1" s="1"/>
  <c r="AG42" i="1"/>
  <c r="AH36" i="1"/>
  <c r="AH39" i="1" s="1"/>
  <c r="AH47" i="1" l="1"/>
  <c r="AH41" i="1"/>
  <c r="AI36" i="1"/>
  <c r="AI39" i="1" s="1"/>
  <c r="AI47" i="1" l="1"/>
  <c r="AI41" i="1"/>
  <c r="AH44" i="1"/>
  <c r="AH45" i="1" s="1"/>
  <c r="AH42" i="1"/>
  <c r="AI44" i="1" l="1"/>
  <c r="AI45" i="1" s="1"/>
  <c r="AI42" i="1"/>
</calcChain>
</file>

<file path=xl/sharedStrings.xml><?xml version="1.0" encoding="utf-8"?>
<sst xmlns="http://schemas.openxmlformats.org/spreadsheetml/2006/main" count="129" uniqueCount="86">
  <si>
    <t>Cost Assumptions</t>
  </si>
  <si>
    <t>Financing Assumptions</t>
  </si>
  <si>
    <t>Revenue Assumptions</t>
  </si>
  <si>
    <t>Purchase Price</t>
  </si>
  <si>
    <t>Downpayment</t>
  </si>
  <si>
    <t>Monthly Rent</t>
  </si>
  <si>
    <t>Land Value (25%)</t>
  </si>
  <si>
    <t>Finance Amt</t>
  </si>
  <si>
    <t>Vacancy Rate</t>
  </si>
  <si>
    <t>Building Value (75%)</t>
  </si>
  <si>
    <t>Downpayment Amt</t>
  </si>
  <si>
    <t>Improvements</t>
  </si>
  <si>
    <t>Interest Rate</t>
  </si>
  <si>
    <t>CF &amp; ROI (Outsourced PM)</t>
  </si>
  <si>
    <t>CF &amp; ROI (Doing My Own PM)</t>
  </si>
  <si>
    <t>Closing Costs</t>
  </si>
  <si>
    <t>Mortgage (Years)</t>
  </si>
  <si>
    <t>Annual Cash Flow</t>
  </si>
  <si>
    <t xml:space="preserve">Total Cost </t>
  </si>
  <si>
    <t>Mortgage Payment</t>
  </si>
  <si>
    <t>Cash ROI</t>
  </si>
  <si>
    <t>Cash Outlay</t>
  </si>
  <si>
    <t>Total ROI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</si>
  <si>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</si>
  <si>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</si>
  <si>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</si>
  <si>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</si>
  <si>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</si>
  <si>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</si>
  <si>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</si>
  <si>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</si>
  <si>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</si>
  <si>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</si>
  <si>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</si>
  <si>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</si>
  <si>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</si>
  <si>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</si>
  <si>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</si>
  <si>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</si>
  <si>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</si>
  <si>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</si>
  <si>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</si>
  <si>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</si>
  <si>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</si>
  <si>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</si>
  <si>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</si>
  <si>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</si>
  <si>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</si>
  <si>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</si>
  <si>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</si>
  <si>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</si>
  <si>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</si>
  <si>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</si>
  <si>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Annual Revenue Increase</t>
  </si>
  <si>
    <t>Annual Operating Expense Increase</t>
  </si>
  <si>
    <t>Monthly</t>
  </si>
  <si>
    <t>Revenues</t>
  </si>
  <si>
    <t>Rental Income</t>
  </si>
  <si>
    <t>Vacancy/Loss Rate</t>
  </si>
  <si>
    <t>Vacancy/Loss Value</t>
  </si>
  <si>
    <t>Gross Income</t>
  </si>
  <si>
    <t>Expenses</t>
  </si>
  <si>
    <t>Property Taxes</t>
  </si>
  <si>
    <t>Annual</t>
  </si>
  <si>
    <t>Insurance</t>
  </si>
  <si>
    <t>Maintenance &amp; Repairs</t>
  </si>
  <si>
    <t>Utilities</t>
  </si>
  <si>
    <t>Advertising</t>
  </si>
  <si>
    <t>Administrative</t>
  </si>
  <si>
    <t>Variable Cost PM</t>
  </si>
  <si>
    <t>(% Income)</t>
  </si>
  <si>
    <t>Fixed Cost PM</t>
  </si>
  <si>
    <t>Other 1</t>
  </si>
  <si>
    <t>Other 2</t>
  </si>
  <si>
    <t>Total Expenses</t>
  </si>
  <si>
    <t>Expenses as % of Gross Income</t>
  </si>
  <si>
    <t>Net Operating Income (NOI)</t>
  </si>
  <si>
    <t>Cash Flow</t>
  </si>
  <si>
    <t>NOI (Cash Available)</t>
  </si>
  <si>
    <t>Mortgage</t>
  </si>
  <si>
    <t>Total Cash Flow</t>
  </si>
  <si>
    <t>Equity Accrued</t>
  </si>
  <si>
    <t>Total Return</t>
  </si>
  <si>
    <t>Cash Flow / Mortgage Ratio</t>
  </si>
  <si>
    <t>Total Equity Accrued</t>
  </si>
  <si>
    <t>Loan Payoff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</si>
</sst>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159">
    <xf numFmtId="0" fontId="0" fillId="0" borderId="0" xfId="0"/>
    <xf numFmtId="6" fontId="3" fillId="0" borderId="5" xfId="0" applyNumberFormat="1" applyFont="1" applyBorder="1"/>
    <xf numFmtId="0" fontId="2" fillId="0" borderId="4" xfId="0" applyFont="1" applyBorder="1"/>
    <xf numFmtId="0" fontId="2" fillId="0" borderId="0" xfId="0" applyFont="1" applyBorder="1"/>
    <xf numFmtId="9" fontId="3" fillId="0" borderId="5" xfId="0" applyNumberFormat="1" applyFont="1" applyBorder="1"/>
    <xf numFmtId="164" fontId="3" fillId="0" borderId="5" xfId="0" applyNumberFormat="1" applyFont="1" applyBorder="1"/>
    <xf numFmtId="6" fontId="2" fillId="0" borderId="5" xfId="0" applyNumberFormat="1" applyFont="1" applyBorder="1"/>
    <xf numFmtId="164" fontId="2" fillId="0" borderId="5" xfId="0" applyNumberFormat="1" applyFont="1" applyBorder="1"/>
    <xf numFmtId="9" fontId="3" fillId="0" borderId="8" xfId="0" applyNumberFormat="1" applyFont="1" applyBorder="1"/>
    <xf numFmtId="0" fontId="2" fillId="0" borderId="9" xfId="0" applyFont="1" applyBorder="1" applyAlignment="1"/>
    <xf numFmtId="9" fontId="3" fillId="0" borderId="9" xfId="0" applyNumberFormat="1" applyFont="1" applyBorder="1"/>
    <xf numFmtId="165" fontId="3" fillId="0" borderId="5" xfId="0" applyNumberFormat="1" applyFont="1" applyBorder="1"/>
    <xf numFmtId="6" fontId="4" fillId="0" borderId="5" xfId="0" applyNumberFormat="1" applyFont="1" applyBorder="1"/>
    <xf numFmtId="1" fontId="3" fillId="0" borderId="5" xfId="0" applyNumberFormat="1" applyFont="1" applyBorder="1"/>
    <xf numFmtId="5" fontId="2" fillId="3" borderId="10" xfId="0" applyNumberFormat="1" applyFont="1" applyFill="1" applyBorder="1"/>
    <xf numFmtId="6" fontId="1" fillId="0" borderId="12" xfId="0" applyNumberFormat="1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10" fontId="2" fillId="3" borderId="13" xfId="0" applyNumberFormat="1" applyFont="1" applyFill="1" applyBorder="1"/>
    <xf numFmtId="0" fontId="1" fillId="0" borderId="0" xfId="0" applyFont="1" applyBorder="1" applyAlignment="1">
      <alignment horizontal="left" indent="1"/>
    </xf>
    <xf numFmtId="6" fontId="1" fillId="0" borderId="0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5" fontId="1" fillId="0" borderId="12" xfId="0" applyNumberFormat="1" applyFont="1" applyBorder="1"/>
    <xf numFmtId="10" fontId="2" fillId="3" borderId="14" xfId="0" applyNumberFormat="1" applyFont="1" applyFill="1" applyBorder="1"/>
    <xf numFmtId="0" fontId="2" fillId="0" borderId="0" xfId="0" applyFont="1" applyFill="1" applyBorder="1" applyAlignment="1"/>
    <xf numFmtId="1" fontId="5" fillId="0" borderId="0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3" fillId="0" borderId="17" xfId="0" applyNumberFormat="1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165" fontId="2" fillId="0" borderId="19" xfId="0" applyNumberFormat="1" applyFont="1" applyBorder="1"/>
    <xf numFmtId="165" fontId="2" fillId="0" borderId="20" xfId="0" applyNumberFormat="1" applyFont="1" applyBorder="1"/>
    <xf numFmtId="165" fontId="3" fillId="0" borderId="0" xfId="0" applyNumberFormat="1" applyFont="1" applyBorder="1"/>
    <xf numFmtId="0" fontId="1" fillId="4" borderId="20" xfId="0" applyFont="1" applyFill="1" applyBorder="1" applyAlignment="1">
      <alignment horizontal="center"/>
    </xf>
    <xf numFmtId="0" fontId="6" fillId="5" borderId="21" xfId="0" applyFont="1" applyFill="1" applyBorder="1"/>
    <xf numFmtId="0" fontId="2" fillId="5" borderId="22" xfId="0" applyFont="1" applyFill="1" applyBorder="1"/>
    <xf numFmtId="0" fontId="2" fillId="4" borderId="23" xfId="0" applyFont="1" applyFill="1" applyBorder="1"/>
    <xf numFmtId="0" fontId="2" fillId="5" borderId="24" xfId="0" applyFont="1" applyFill="1" applyBorder="1"/>
    <xf numFmtId="0" fontId="0" fillId="5" borderId="22" xfId="0" applyFill="1" applyBorder="1"/>
    <xf numFmtId="0" fontId="0" fillId="5" borderId="24" xfId="0" applyFill="1" applyBorder="1"/>
    <xf numFmtId="0" fontId="0" fillId="5" borderId="25" xfId="0" applyFill="1" applyBorder="1"/>
    <xf numFmtId="0" fontId="2" fillId="0" borderId="26" xfId="0" applyFont="1" applyBorder="1"/>
    <xf numFmtId="37" fontId="2" fillId="0" borderId="0" xfId="0" applyNumberFormat="1" applyFont="1" applyBorder="1"/>
    <xf numFmtId="37" fontId="2" fillId="4" borderId="27" xfId="0" applyNumberFormat="1" applyFont="1" applyFill="1" applyBorder="1"/>
    <xf numFmtId="37" fontId="2" fillId="0" borderId="5" xfId="0" applyNumberFormat="1" applyFont="1" applyBorder="1"/>
    <xf numFmtId="37" fontId="2" fillId="0" borderId="28" xfId="0" applyNumberFormat="1" applyFont="1" applyBorder="1"/>
    <xf numFmtId="165" fontId="3" fillId="0" borderId="28" xfId="0" applyNumberFormat="1" applyFont="1" applyBorder="1"/>
    <xf numFmtId="165" fontId="3" fillId="4" borderId="0" xfId="0" applyNumberFormat="1" applyFont="1" applyFill="1" applyBorder="1"/>
    <xf numFmtId="165" fontId="3" fillId="0" borderId="26" xfId="0" applyNumberFormat="1" applyFont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0" fontId="1" fillId="0" borderId="29" xfId="0" applyFont="1" applyBorder="1" applyAlignment="1">
      <alignment horizontal="left" indent="1"/>
    </xf>
    <xf numFmtId="0" fontId="1" fillId="0" borderId="15" xfId="0" applyFont="1" applyBorder="1"/>
    <xf numFmtId="37" fontId="2" fillId="0" borderId="15" xfId="0" applyNumberFormat="1" applyFont="1" applyBorder="1"/>
    <xf numFmtId="37" fontId="1" fillId="4" borderId="30" xfId="0" applyNumberFormat="1" applyFont="1" applyFill="1" applyBorder="1"/>
    <xf numFmtId="37" fontId="1" fillId="0" borderId="15" xfId="0" applyNumberFormat="1" applyFont="1" applyBorder="1"/>
    <xf numFmtId="37" fontId="1" fillId="0" borderId="31" xfId="0" applyNumberFormat="1" applyFont="1" applyBorder="1"/>
    <xf numFmtId="37" fontId="1" fillId="0" borderId="32" xfId="0" applyNumberFormat="1" applyFont="1" applyBorder="1"/>
    <xf numFmtId="0" fontId="2" fillId="4" borderId="27" xfId="0" applyFont="1" applyFill="1" applyBorder="1"/>
    <xf numFmtId="0" fontId="2" fillId="0" borderId="5" xfId="0" applyFont="1" applyBorder="1"/>
    <xf numFmtId="0" fontId="0" fillId="0" borderId="0" xfId="0" applyBorder="1"/>
    <xf numFmtId="0" fontId="0" fillId="0" borderId="5" xfId="0" applyBorder="1"/>
    <xf numFmtId="0" fontId="6" fillId="6" borderId="21" xfId="0" applyFont="1" applyFill="1" applyBorder="1"/>
    <xf numFmtId="0" fontId="2" fillId="6" borderId="22" xfId="0" applyFont="1" applyFill="1" applyBorder="1"/>
    <xf numFmtId="0" fontId="2" fillId="6" borderId="24" xfId="0" applyFont="1" applyFill="1" applyBorder="1"/>
    <xf numFmtId="0" fontId="0" fillId="6" borderId="22" xfId="0" applyFill="1" applyBorder="1"/>
    <xf numFmtId="0" fontId="0" fillId="6" borderId="24" xfId="0" applyFill="1" applyBorder="1"/>
    <xf numFmtId="0" fontId="0" fillId="6" borderId="25" xfId="0" applyFill="1" applyBorder="1"/>
    <xf numFmtId="37" fontId="3" fillId="0" borderId="0" xfId="0" applyNumberFormat="1" applyFont="1" applyBorder="1"/>
    <xf numFmtId="9" fontId="3" fillId="0" borderId="0" xfId="0" applyNumberFormat="1" applyFont="1" applyBorder="1"/>
    <xf numFmtId="37" fontId="1" fillId="0" borderId="15" xfId="0" applyNumberFormat="1" applyFont="1" applyFill="1" applyBorder="1"/>
    <xf numFmtId="37" fontId="1" fillId="0" borderId="31" xfId="0" applyNumberFormat="1" applyFont="1" applyFill="1" applyBorder="1"/>
    <xf numFmtId="10" fontId="2" fillId="4" borderId="27" xfId="0" applyNumberFormat="1" applyFont="1" applyFill="1" applyBorder="1"/>
    <xf numFmtId="165" fontId="2" fillId="0" borderId="0" xfId="0" applyNumberFormat="1" applyFont="1"/>
    <xf numFmtId="165" fontId="2" fillId="0" borderId="24" xfId="0" applyNumberFormat="1" applyFont="1" applyBorder="1"/>
    <xf numFmtId="0" fontId="0" fillId="0" borderId="31" xfId="0" applyBorder="1"/>
    <xf numFmtId="0" fontId="1" fillId="7" borderId="16" xfId="0" applyFont="1" applyFill="1" applyBorder="1"/>
    <xf numFmtId="0" fontId="2" fillId="7" borderId="17" xfId="0" applyFont="1" applyFill="1" applyBorder="1"/>
    <xf numFmtId="0" fontId="1" fillId="7" borderId="17" xfId="0" applyFont="1" applyFill="1" applyBorder="1"/>
    <xf numFmtId="37" fontId="1" fillId="4" borderId="20" xfId="0" applyNumberFormat="1" applyFont="1" applyFill="1" applyBorder="1"/>
    <xf numFmtId="37" fontId="1" fillId="7" borderId="17" xfId="0" applyNumberFormat="1" applyFont="1" applyFill="1" applyBorder="1"/>
    <xf numFmtId="37" fontId="1" fillId="7" borderId="18" xfId="0" applyNumberFormat="1" applyFont="1" applyFill="1" applyBorder="1"/>
    <xf numFmtId="0" fontId="0" fillId="4" borderId="27" xfId="0" applyFill="1" applyBorder="1"/>
    <xf numFmtId="0" fontId="0" fillId="0" borderId="24" xfId="0" applyBorder="1"/>
    <xf numFmtId="0" fontId="2" fillId="8" borderId="22" xfId="0" applyFont="1" applyFill="1" applyBorder="1"/>
    <xf numFmtId="0" fontId="2" fillId="8" borderId="24" xfId="0" applyFont="1" applyFill="1" applyBorder="1"/>
    <xf numFmtId="0" fontId="0" fillId="8" borderId="22" xfId="0" applyFill="1" applyBorder="1"/>
    <xf numFmtId="0" fontId="0" fillId="8" borderId="24" xfId="0" applyFill="1" applyBorder="1"/>
    <xf numFmtId="0" fontId="0" fillId="8" borderId="25" xfId="0" applyFill="1" applyBorder="1"/>
    <xf numFmtId="0" fontId="7" fillId="0" borderId="0" xfId="0" applyFont="1" applyBorder="1"/>
    <xf numFmtId="37" fontId="1" fillId="0" borderId="0" xfId="0" applyNumberFormat="1" applyFont="1" applyBorder="1"/>
    <xf numFmtId="37" fontId="1" fillId="4" borderId="27" xfId="0" applyNumberFormat="1" applyFont="1" applyFill="1" applyBorder="1"/>
    <xf numFmtId="37" fontId="1" fillId="0" borderId="5" xfId="0" applyNumberFormat="1" applyFont="1" applyBorder="1"/>
    <xf numFmtId="37" fontId="1" fillId="0" borderId="28" xfId="0" applyNumberFormat="1" applyFont="1" applyBorder="1"/>
    <xf numFmtId="0" fontId="1" fillId="0" borderId="26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0" fontId="1" fillId="4" borderId="27" xfId="0" applyNumberFormat="1" applyFont="1" applyFill="1" applyBorder="1"/>
    <xf numFmtId="10" fontId="1" fillId="0" borderId="0" xfId="0" applyNumberFormat="1" applyFont="1" applyBorder="1"/>
    <xf numFmtId="10" fontId="1" fillId="0" borderId="5" xfId="0" applyNumberFormat="1" applyFont="1" applyBorder="1"/>
    <xf numFmtId="10" fontId="1" fillId="0" borderId="28" xfId="0" applyNumberFormat="1" applyFont="1" applyBorder="1"/>
    <xf numFmtId="0" fontId="2" fillId="0" borderId="22" xfId="0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" fontId="2" fillId="4" borderId="23" xfId="0" applyNumberFormat="1" applyFont="1" applyFill="1" applyBorder="1"/>
    <xf numFmtId="3" fontId="2" fillId="0" borderId="22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1" fillId="0" borderId="29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7" fillId="0" borderId="15" xfId="0" applyFont="1" applyBorder="1"/>
    <xf numFmtId="10" fontId="1" fillId="4" borderId="30" xfId="0" applyNumberFormat="1" applyFont="1" applyFill="1" applyBorder="1"/>
    <xf numFmtId="10" fontId="1" fillId="0" borderId="15" xfId="0" applyNumberFormat="1" applyFont="1" applyBorder="1"/>
    <xf numFmtId="10" fontId="1" fillId="0" borderId="31" xfId="0" applyNumberFormat="1" applyFont="1" applyBorder="1"/>
    <xf numFmtId="10" fontId="1" fillId="0" borderId="32" xfId="0" applyNumberFormat="1" applyFont="1" applyBorder="1"/>
    <xf numFmtId="37" fontId="0" fillId="0" borderId="0" xfId="0" applyNumberFormat="1"/>
    <xf numFmtId="37" fontId="0" fillId="4" borderId="27" xfId="0" applyNumberFormat="1" applyFill="1" applyBorder="1"/>
    <xf numFmtId="37" fontId="0" fillId="0" borderId="5" xfId="0" applyNumberFormat="1" applyBorder="1"/>
    <xf numFmtId="0" fontId="0" fillId="0" borderId="4" xfId="0" applyBorder="1"/>
    <xf numFmtId="0" fontId="1" fillId="0" borderId="16" xfId="0" applyFont="1" applyFill="1" applyBorder="1"/>
    <xf numFmtId="0" fontId="1" fillId="0" borderId="17" xfId="0" applyFont="1" applyFill="1" applyBorder="1"/>
    <xf numFmtId="0" fontId="8" fillId="0" borderId="17" xfId="0" applyFont="1" applyFill="1" applyBorder="1"/>
    <xf numFmtId="9" fontId="1" fillId="4" borderId="20" xfId="0" applyNumberFormat="1" applyFont="1" applyFill="1" applyBorder="1"/>
    <xf numFmtId="9" fontId="1" fillId="0" borderId="17" xfId="0" applyNumberFormat="1" applyFont="1" applyFill="1" applyBorder="1"/>
    <xf numFmtId="9" fontId="1" fillId="0" borderId="18" xfId="0" applyNumberFormat="1" applyFont="1" applyFill="1" applyBorder="1"/>
    <xf numFmtId="9" fontId="1" fillId="0" borderId="33" xfId="0" applyNumberFormat="1" applyFont="1" applyFill="1" applyBorder="1"/>
    <xf numFmtId="9" fontId="1" fillId="0" borderId="19" xfId="0" applyNumberFormat="1" applyFont="1" applyFill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26" xfId="0" applyFont="1" applyBorder="1"/>
    <xf numFmtId="0" fontId="2" fillId="0" borderId="0" xfId="0" applyFont="1" applyBorder="1"/>
    <xf numFmtId="0" fontId="2" fillId="0" borderId="26" xfId="0" applyFont="1" applyFill="1" applyBorder="1"/>
    <xf numFmtId="0" fontId="2" fillId="0" borderId="0" xfId="0" applyFont="1" applyFill="1" applyBorder="1"/>
    <xf numFmtId="0" fontId="1" fillId="0" borderId="26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0" xfId="0" applyFont="1"/>
    <xf numFmtId="0" fontId="1" fillId="8" borderId="21" xfId="0" applyFont="1" applyFill="1" applyBorder="1"/>
    <xf numFmtId="0" fontId="1" fillId="8" borderId="22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1" fillId="0" borderId="11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workbookViewId="0">
      <selection activeCell="I7" sqref="I7"/>
    </sheetView>
  </sheetViews>
  <sheetFormatPr defaultRowHeight="15" x14ac:dyDescent="0.25"/>
  <cols>
    <col min="1" max="1" width="1" customWidth="1"/>
    <col min="2" max="35" width="9.7109375" customWidth="1"/>
  </cols>
  <sheetData>
    <row r="1" spans="1:35" ht="6" customHeight="1" thickBot="1" x14ac:dyDescent="0.3"/>
    <row r="2" spans="1:35" x14ac:dyDescent="0.25">
      <c r="B2" s="154" t="s">
        <v>0</v>
      </c>
      <c r="C2" s="155"/>
      <c r="D2" s="156"/>
      <c r="F2" s="154" t="s">
        <v>1</v>
      </c>
      <c r="G2" s="155"/>
      <c r="H2" s="156"/>
      <c r="J2" s="154" t="s">
        <v>2</v>
      </c>
      <c r="K2" s="155"/>
      <c r="L2" s="156"/>
    </row>
    <row r="3" spans="1:35" x14ac:dyDescent="0.25">
      <c r="B3" s="153" t="s">
        <v>3</v>
      </c>
      <c r="C3" s="133"/>
      <c r="D3" s="1">
        <v>80000</v>
      </c>
      <c r="F3" s="2" t="s">
        <v>4</v>
      </c>
      <c r="G3" s="3"/>
      <c r="H3" s="4">
        <v>0.2</v>
      </c>
      <c r="J3" s="153" t="s">
        <v>5</v>
      </c>
      <c r="K3" s="133"/>
      <c r="L3" s="5">
        <v>1200</v>
      </c>
    </row>
    <row r="4" spans="1:35" ht="15.75" thickBot="1" x14ac:dyDescent="0.3">
      <c r="B4" s="151" t="s">
        <v>6</v>
      </c>
      <c r="C4" s="152"/>
      <c r="D4" s="6">
        <f>D3*0.25</f>
        <v>20000</v>
      </c>
      <c r="F4" s="2" t="s">
        <v>7</v>
      </c>
      <c r="G4" s="3"/>
      <c r="H4" s="7">
        <f>(1-H3)*D3</f>
        <v>64000</v>
      </c>
      <c r="J4" s="157" t="s">
        <v>8</v>
      </c>
      <c r="K4" s="158"/>
      <c r="L4" s="8">
        <v>8.3330000000000001E-2</v>
      </c>
    </row>
    <row r="5" spans="1:35" ht="15.75" thickBot="1" x14ac:dyDescent="0.3">
      <c r="B5" s="151" t="s">
        <v>9</v>
      </c>
      <c r="C5" s="152"/>
      <c r="D5" s="6">
        <f>D3*0.75</f>
        <v>60000</v>
      </c>
      <c r="F5" s="2" t="s">
        <v>10</v>
      </c>
      <c r="G5" s="3"/>
      <c r="H5" s="7">
        <f>H3*D3</f>
        <v>16000</v>
      </c>
      <c r="J5" s="9"/>
      <c r="K5" s="9"/>
      <c r="L5" s="10"/>
    </row>
    <row r="6" spans="1:35" ht="15.75" thickBot="1" x14ac:dyDescent="0.3">
      <c r="B6" s="153" t="s">
        <v>11</v>
      </c>
      <c r="C6" s="133"/>
      <c r="D6" s="1">
        <v>10000</v>
      </c>
      <c r="F6" s="2" t="s">
        <v>12</v>
      </c>
      <c r="G6" s="3"/>
      <c r="H6" s="11">
        <v>0.05</v>
      </c>
      <c r="J6" s="154" t="s">
        <v>13</v>
      </c>
      <c r="K6" s="155"/>
      <c r="L6" s="156"/>
      <c r="N6" s="154" t="s">
        <v>14</v>
      </c>
      <c r="O6" s="155"/>
      <c r="P6" s="156"/>
    </row>
    <row r="7" spans="1:35" ht="15.75" thickBot="1" x14ac:dyDescent="0.3">
      <c r="B7" s="153" t="s">
        <v>15</v>
      </c>
      <c r="C7" s="133"/>
      <c r="D7" s="12">
        <f>D3*0.025</f>
        <v>2000</v>
      </c>
      <c r="F7" s="2" t="s">
        <v>16</v>
      </c>
      <c r="G7" s="3"/>
      <c r="H7" s="13">
        <v>30</v>
      </c>
      <c r="J7" s="147" t="s">
        <v>17</v>
      </c>
      <c r="K7" s="148"/>
      <c r="L7" s="14">
        <f>F41</f>
        <v>3793.2521752667726</v>
      </c>
      <c r="N7" s="147" t="s">
        <v>17</v>
      </c>
      <c r="O7" s="148"/>
      <c r="P7" s="14">
        <f>L7+F29+F30</f>
        <v>5377.2579352667726</v>
      </c>
    </row>
    <row r="8" spans="1:35" ht="15.75" thickBot="1" x14ac:dyDescent="0.3">
      <c r="B8" s="145" t="s">
        <v>18</v>
      </c>
      <c r="C8" s="146"/>
      <c r="D8" s="15">
        <f>D3+D6+D7</f>
        <v>92000</v>
      </c>
      <c r="F8" s="16" t="s">
        <v>19</v>
      </c>
      <c r="G8" s="17"/>
      <c r="H8" s="7">
        <f>-PMT(H6/12,12*H7, H4)</f>
        <v>343.56583872776901</v>
      </c>
      <c r="J8" s="147" t="s">
        <v>20</v>
      </c>
      <c r="K8" s="148"/>
      <c r="L8" s="18">
        <f>F42</f>
        <v>0.1354732919738133</v>
      </c>
      <c r="N8" s="147" t="s">
        <v>20</v>
      </c>
      <c r="O8" s="148"/>
      <c r="P8" s="18">
        <f>P7/H9</f>
        <v>0.1920449262595276</v>
      </c>
    </row>
    <row r="9" spans="1:35" ht="15.75" thickBot="1" x14ac:dyDescent="0.3">
      <c r="B9" s="19"/>
      <c r="C9" s="19"/>
      <c r="D9" s="20"/>
      <c r="F9" s="21" t="s">
        <v>21</v>
      </c>
      <c r="G9" s="22"/>
      <c r="H9" s="23">
        <f>H5+D6+D7</f>
        <v>28000</v>
      </c>
      <c r="J9" s="149" t="s">
        <v>22</v>
      </c>
      <c r="K9" s="150"/>
      <c r="L9" s="24">
        <f>F45</f>
        <v>0.16919592844392711</v>
      </c>
      <c r="N9" s="149" t="s">
        <v>22</v>
      </c>
      <c r="O9" s="150"/>
      <c r="P9" s="24">
        <f>(F44+F29+F30)/H9</f>
        <v>0.22576756272964141</v>
      </c>
      <c r="R9" s="25"/>
      <c r="S9" s="25"/>
      <c r="T9" s="26"/>
    </row>
    <row r="10" spans="1:35" ht="15.75" customHeight="1" x14ac:dyDescent="0.25"/>
    <row r="11" spans="1:35" x14ac:dyDescent="0.25">
      <c r="A11" s="27"/>
      <c r="B11" s="28"/>
      <c r="C11" s="28"/>
      <c r="D11" s="28"/>
      <c r="E11" s="28"/>
      <c r="F11" s="29" t="s">
        <v>23</v>
      </c>
      <c r="G11" s="28" t="s">
        <v>24</v>
      </c>
      <c r="H11" s="28" t="s">
        <v>25</v>
      </c>
      <c r="I11" s="28" t="s">
        <v>26</v>
      </c>
      <c r="J11" s="30" t="s">
        <v>27</v>
      </c>
      <c r="K11" s="28" t="s">
        <v>28</v>
      </c>
      <c r="L11" s="28" t="s">
        <v>29</v>
      </c>
      <c r="M11" s="28" t="s">
        <v>30</v>
      </c>
      <c r="N11" s="28" t="s">
        <v>31</v>
      </c>
      <c r="O11" s="31" t="s">
        <v>32</v>
      </c>
      <c r="P11" s="31" t="s">
        <v>33</v>
      </c>
      <c r="Q11" s="31" t="s">
        <v>34</v>
      </c>
      <c r="R11" s="31" t="s">
        <v>35</v>
      </c>
      <c r="S11" s="31" t="s">
        <v>36</v>
      </c>
      <c r="T11" s="30" t="s">
        <v>37</v>
      </c>
      <c r="U11" s="31" t="s">
        <v>38</v>
      </c>
      <c r="V11" s="31" t="s">
        <v>39</v>
      </c>
      <c r="W11" s="31" t="s">
        <v>40</v>
      </c>
      <c r="X11" s="31" t="s">
        <v>41</v>
      </c>
      <c r="Y11" s="31" t="s">
        <v>42</v>
      </c>
      <c r="Z11" s="31" t="s">
        <v>43</v>
      </c>
      <c r="AA11" s="31" t="s">
        <v>44</v>
      </c>
      <c r="AB11" s="31" t="s">
        <v>45</v>
      </c>
      <c r="AC11" s="31" t="s">
        <v>46</v>
      </c>
      <c r="AD11" s="31" t="s">
        <v>47</v>
      </c>
      <c r="AE11" s="31" t="s">
        <v>48</v>
      </c>
      <c r="AF11" s="31" t="s">
        <v>49</v>
      </c>
      <c r="AG11" s="31" t="s">
        <v>50</v>
      </c>
      <c r="AH11" s="31" t="s">
        <v>51</v>
      </c>
      <c r="AI11" s="31" t="s">
        <v>52</v>
      </c>
    </row>
    <row r="12" spans="1:35" x14ac:dyDescent="0.25">
      <c r="B12" s="143" t="s">
        <v>53</v>
      </c>
      <c r="C12" s="144"/>
      <c r="D12" s="144"/>
      <c r="E12" s="32">
        <v>0.02</v>
      </c>
      <c r="F12" s="33">
        <v>0</v>
      </c>
      <c r="G12" s="33">
        <f>E12</f>
        <v>0.02</v>
      </c>
      <c r="H12" s="33">
        <f>E12</f>
        <v>0.02</v>
      </c>
      <c r="I12" s="33">
        <f>E12</f>
        <v>0.02</v>
      </c>
      <c r="J12" s="34">
        <f>E12</f>
        <v>0.02</v>
      </c>
      <c r="K12" s="33">
        <f>E12</f>
        <v>0.02</v>
      </c>
      <c r="L12" s="33">
        <f>E12</f>
        <v>0.02</v>
      </c>
      <c r="M12" s="33">
        <f>E12</f>
        <v>0.02</v>
      </c>
      <c r="N12" s="33">
        <f>E12</f>
        <v>0.02</v>
      </c>
      <c r="O12" s="33">
        <f>E12</f>
        <v>0.02</v>
      </c>
      <c r="P12" s="33">
        <f>E12</f>
        <v>0.02</v>
      </c>
      <c r="Q12" s="33">
        <f>E12</f>
        <v>0.02</v>
      </c>
      <c r="R12" s="33">
        <f>E12</f>
        <v>0.02</v>
      </c>
      <c r="S12" s="33">
        <f>E12</f>
        <v>0.02</v>
      </c>
      <c r="T12" s="34">
        <f>E12</f>
        <v>0.02</v>
      </c>
      <c r="U12" s="33">
        <f>E12</f>
        <v>0.02</v>
      </c>
      <c r="V12" s="35">
        <f>G12</f>
        <v>0.02</v>
      </c>
      <c r="W12" s="33">
        <f>E12</f>
        <v>0.02</v>
      </c>
      <c r="X12" s="35">
        <f>E12</f>
        <v>0.02</v>
      </c>
      <c r="Y12" s="33">
        <f>E12</f>
        <v>0.02</v>
      </c>
      <c r="Z12" s="35">
        <f>E12</f>
        <v>0.02</v>
      </c>
      <c r="AA12" s="33">
        <f>E12</f>
        <v>0.02</v>
      </c>
      <c r="AB12" s="35">
        <f>E12</f>
        <v>0.02</v>
      </c>
      <c r="AC12" s="33">
        <f>E12</f>
        <v>0.02</v>
      </c>
      <c r="AD12" s="35">
        <f>E12</f>
        <v>0.02</v>
      </c>
      <c r="AE12" s="33">
        <f>E12</f>
        <v>0.02</v>
      </c>
      <c r="AF12" s="35">
        <f>E12</f>
        <v>0.02</v>
      </c>
      <c r="AG12" s="33">
        <f>E12</f>
        <v>0.02</v>
      </c>
      <c r="AH12" s="35">
        <f>E12</f>
        <v>0.02</v>
      </c>
      <c r="AI12" s="36">
        <f>E12</f>
        <v>0.02</v>
      </c>
    </row>
    <row r="13" spans="1:35" x14ac:dyDescent="0.25">
      <c r="B13" s="143" t="s">
        <v>54</v>
      </c>
      <c r="C13" s="144"/>
      <c r="D13" s="144"/>
      <c r="E13" s="32">
        <v>0.02</v>
      </c>
      <c r="F13" s="33">
        <v>0</v>
      </c>
      <c r="G13" s="33">
        <f>E13</f>
        <v>0.02</v>
      </c>
      <c r="H13" s="33">
        <f>E13</f>
        <v>0.02</v>
      </c>
      <c r="I13" s="33">
        <f>E13</f>
        <v>0.02</v>
      </c>
      <c r="J13" s="34">
        <f>E13</f>
        <v>0.02</v>
      </c>
      <c r="K13" s="33">
        <f>E13</f>
        <v>0.02</v>
      </c>
      <c r="L13" s="33">
        <f>E13</f>
        <v>0.02</v>
      </c>
      <c r="M13" s="33">
        <f>E13</f>
        <v>0.02</v>
      </c>
      <c r="N13" s="33">
        <f>E13</f>
        <v>0.02</v>
      </c>
      <c r="O13" s="33">
        <f>E13</f>
        <v>0.02</v>
      </c>
      <c r="P13" s="33">
        <f>E13</f>
        <v>0.02</v>
      </c>
      <c r="Q13" s="33">
        <f>E13</f>
        <v>0.02</v>
      </c>
      <c r="R13" s="33">
        <f>E13</f>
        <v>0.02</v>
      </c>
      <c r="S13" s="33">
        <f>E13</f>
        <v>0.02</v>
      </c>
      <c r="T13" s="34">
        <f>E13</f>
        <v>0.02</v>
      </c>
      <c r="U13" s="33">
        <f>E13</f>
        <v>0.02</v>
      </c>
      <c r="V13" s="35">
        <f>G13</f>
        <v>0.02</v>
      </c>
      <c r="W13" s="33">
        <f>E13</f>
        <v>0.02</v>
      </c>
      <c r="X13" s="35">
        <f>E13</f>
        <v>0.02</v>
      </c>
      <c r="Y13" s="33">
        <f>E13</f>
        <v>0.02</v>
      </c>
      <c r="Z13" s="35">
        <f>E13</f>
        <v>0.02</v>
      </c>
      <c r="AA13" s="33">
        <f>E13</f>
        <v>0.02</v>
      </c>
      <c r="AB13" s="35">
        <f>E13</f>
        <v>0.02</v>
      </c>
      <c r="AC13" s="33">
        <f>E13</f>
        <v>0.02</v>
      </c>
      <c r="AD13" s="35">
        <f>E13</f>
        <v>0.02</v>
      </c>
      <c r="AE13" s="33">
        <f>E13</f>
        <v>0.02</v>
      </c>
      <c r="AF13" s="35">
        <f>E13</f>
        <v>0.02</v>
      </c>
      <c r="AG13" s="33">
        <f>E13</f>
        <v>0.02</v>
      </c>
      <c r="AH13" s="35">
        <f>E13</f>
        <v>0.02</v>
      </c>
      <c r="AI13" s="36">
        <f>E13</f>
        <v>0.02</v>
      </c>
    </row>
    <row r="14" spans="1:35" x14ac:dyDescent="0.25">
      <c r="A14" s="3"/>
      <c r="B14" s="3"/>
      <c r="C14" s="3"/>
      <c r="D14" s="3"/>
      <c r="E14" s="37"/>
      <c r="F14" s="37"/>
      <c r="G14" s="37"/>
      <c r="H14" s="37"/>
      <c r="I14" s="37"/>
      <c r="J14" s="11"/>
      <c r="K14" s="37"/>
      <c r="L14" s="37"/>
      <c r="M14" s="37"/>
      <c r="N14" s="37"/>
      <c r="O14" s="37"/>
      <c r="P14" s="37"/>
      <c r="Q14" s="37"/>
      <c r="R14" s="37"/>
      <c r="S14" s="37"/>
      <c r="T14" s="11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x14ac:dyDescent="0.25">
      <c r="A15" s="27"/>
      <c r="B15" s="28"/>
      <c r="C15" s="28"/>
      <c r="D15" s="28"/>
      <c r="E15" s="28" t="s">
        <v>55</v>
      </c>
      <c r="F15" s="38" t="s">
        <v>23</v>
      </c>
      <c r="G15" s="28" t="s">
        <v>24</v>
      </c>
      <c r="H15" s="28" t="s">
        <v>25</v>
      </c>
      <c r="I15" s="28" t="s">
        <v>26</v>
      </c>
      <c r="J15" s="30" t="s">
        <v>27</v>
      </c>
      <c r="K15" s="28" t="s">
        <v>28</v>
      </c>
      <c r="L15" s="28" t="s">
        <v>29</v>
      </c>
      <c r="M15" s="28" t="s">
        <v>30</v>
      </c>
      <c r="N15" s="28" t="s">
        <v>31</v>
      </c>
      <c r="O15" s="31" t="s">
        <v>32</v>
      </c>
      <c r="P15" s="31" t="s">
        <v>33</v>
      </c>
      <c r="Q15" s="31" t="s">
        <v>34</v>
      </c>
      <c r="R15" s="31" t="s">
        <v>35</v>
      </c>
      <c r="S15" s="31" t="s">
        <v>36</v>
      </c>
      <c r="T15" s="30" t="s">
        <v>37</v>
      </c>
      <c r="U15" s="31" t="s">
        <v>38</v>
      </c>
      <c r="V15" s="31" t="s">
        <v>39</v>
      </c>
      <c r="W15" s="31" t="s">
        <v>40</v>
      </c>
      <c r="X15" s="31" t="s">
        <v>41</v>
      </c>
      <c r="Y15" s="31" t="s">
        <v>42</v>
      </c>
      <c r="Z15" s="31" t="s">
        <v>43</v>
      </c>
      <c r="AA15" s="31" t="s">
        <v>44</v>
      </c>
      <c r="AB15" s="31" t="s">
        <v>45</v>
      </c>
      <c r="AC15" s="31" t="s">
        <v>46</v>
      </c>
      <c r="AD15" s="31" t="s">
        <v>47</v>
      </c>
      <c r="AE15" s="31" t="s">
        <v>48</v>
      </c>
      <c r="AF15" s="31" t="s">
        <v>49</v>
      </c>
      <c r="AG15" s="31" t="s">
        <v>50</v>
      </c>
      <c r="AH15" s="31" t="s">
        <v>51</v>
      </c>
      <c r="AI15" s="31" t="s">
        <v>52</v>
      </c>
    </row>
    <row r="16" spans="1:35" x14ac:dyDescent="0.25">
      <c r="B16" s="39" t="s">
        <v>56</v>
      </c>
      <c r="C16" s="40"/>
      <c r="D16" s="40"/>
      <c r="E16" s="40"/>
      <c r="F16" s="41"/>
      <c r="G16" s="40"/>
      <c r="H16" s="40"/>
      <c r="I16" s="40"/>
      <c r="J16" s="42"/>
      <c r="K16" s="40"/>
      <c r="L16" s="40"/>
      <c r="M16" s="43"/>
      <c r="N16" s="43"/>
      <c r="O16" s="43"/>
      <c r="P16" s="43"/>
      <c r="Q16" s="43"/>
      <c r="R16" s="43"/>
      <c r="S16" s="43"/>
      <c r="T16" s="44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5"/>
    </row>
    <row r="17" spans="1:35" x14ac:dyDescent="0.25">
      <c r="B17" s="46" t="s">
        <v>57</v>
      </c>
      <c r="C17" s="3"/>
      <c r="D17" s="47"/>
      <c r="E17" s="47">
        <f>L3</f>
        <v>1200</v>
      </c>
      <c r="F17" s="48">
        <f>E17*12</f>
        <v>14400</v>
      </c>
      <c r="G17" s="47">
        <f t="shared" ref="G17:AI17" si="0">F17+(G12*F17)</f>
        <v>14688</v>
      </c>
      <c r="H17" s="47">
        <f t="shared" si="0"/>
        <v>14981.76</v>
      </c>
      <c r="I17" s="47">
        <f t="shared" si="0"/>
        <v>15281.395200000001</v>
      </c>
      <c r="J17" s="49">
        <f t="shared" si="0"/>
        <v>15587.023104000002</v>
      </c>
      <c r="K17" s="47">
        <f t="shared" si="0"/>
        <v>15898.763566080002</v>
      </c>
      <c r="L17" s="47">
        <f t="shared" si="0"/>
        <v>16216.738837401603</v>
      </c>
      <c r="M17" s="47">
        <f t="shared" si="0"/>
        <v>16541.073614149635</v>
      </c>
      <c r="N17" s="47">
        <f t="shared" si="0"/>
        <v>16871.895086432629</v>
      </c>
      <c r="O17" s="47">
        <f t="shared" si="0"/>
        <v>17209.332988161281</v>
      </c>
      <c r="P17" s="47">
        <f t="shared" si="0"/>
        <v>17553.519647924506</v>
      </c>
      <c r="Q17" s="47">
        <f t="shared" si="0"/>
        <v>17904.590040882995</v>
      </c>
      <c r="R17" s="47">
        <f t="shared" si="0"/>
        <v>18262.681841700654</v>
      </c>
      <c r="S17" s="47">
        <f t="shared" si="0"/>
        <v>18627.935478534666</v>
      </c>
      <c r="T17" s="49">
        <f t="shared" si="0"/>
        <v>19000.49418810536</v>
      </c>
      <c r="U17" s="47">
        <f t="shared" si="0"/>
        <v>19380.504071867468</v>
      </c>
      <c r="V17" s="47">
        <f t="shared" si="0"/>
        <v>19768.114153304818</v>
      </c>
      <c r="W17" s="47">
        <f t="shared" si="0"/>
        <v>20163.476436370915</v>
      </c>
      <c r="X17" s="47">
        <f t="shared" si="0"/>
        <v>20566.745965098333</v>
      </c>
      <c r="Y17" s="47">
        <f t="shared" si="0"/>
        <v>20978.0808844003</v>
      </c>
      <c r="Z17" s="47">
        <f t="shared" si="0"/>
        <v>21397.642502088307</v>
      </c>
      <c r="AA17" s="47">
        <f t="shared" si="0"/>
        <v>21825.595352130073</v>
      </c>
      <c r="AB17" s="47">
        <f t="shared" si="0"/>
        <v>22262.107259172673</v>
      </c>
      <c r="AC17" s="47">
        <f t="shared" si="0"/>
        <v>22707.349404356126</v>
      </c>
      <c r="AD17" s="47">
        <f t="shared" si="0"/>
        <v>23161.496392443249</v>
      </c>
      <c r="AE17" s="47">
        <f t="shared" si="0"/>
        <v>23624.726320292113</v>
      </c>
      <c r="AF17" s="47">
        <f t="shared" si="0"/>
        <v>24097.220846697954</v>
      </c>
      <c r="AG17" s="47">
        <f t="shared" si="0"/>
        <v>24579.165263631912</v>
      </c>
      <c r="AH17" s="47">
        <f t="shared" si="0"/>
        <v>25070.74856890455</v>
      </c>
      <c r="AI17" s="50">
        <f t="shared" si="0"/>
        <v>25572.16354028264</v>
      </c>
    </row>
    <row r="18" spans="1:35" x14ac:dyDescent="0.25">
      <c r="B18" s="46" t="s">
        <v>58</v>
      </c>
      <c r="C18" s="3"/>
      <c r="D18" s="47"/>
      <c r="E18" s="51">
        <f>L4</f>
        <v>8.3330000000000001E-2</v>
      </c>
      <c r="F18" s="52">
        <f>L4</f>
        <v>8.3330000000000001E-2</v>
      </c>
      <c r="G18" s="53">
        <v>7.0000000000000007E-2</v>
      </c>
      <c r="H18" s="37">
        <v>7.0000000000000007E-2</v>
      </c>
      <c r="I18" s="37">
        <v>7.0000000000000007E-2</v>
      </c>
      <c r="J18" s="11">
        <v>7.0000000000000007E-2</v>
      </c>
      <c r="K18" s="37">
        <v>7.0000000000000007E-2</v>
      </c>
      <c r="L18" s="37">
        <v>7.0000000000000007E-2</v>
      </c>
      <c r="M18" s="37">
        <v>7.0000000000000007E-2</v>
      </c>
      <c r="N18" s="37">
        <v>7.0000000000000007E-2</v>
      </c>
      <c r="O18" s="37">
        <v>7.0000000000000007E-2</v>
      </c>
      <c r="P18" s="37">
        <v>7.0000000000000007E-2</v>
      </c>
      <c r="Q18" s="37">
        <v>7.0000000000000007E-2</v>
      </c>
      <c r="R18" s="37">
        <v>7.0000000000000007E-2</v>
      </c>
      <c r="S18" s="37">
        <v>7.0000000000000007E-2</v>
      </c>
      <c r="T18" s="11">
        <v>7.0000000000000007E-2</v>
      </c>
      <c r="U18" s="37">
        <v>7.0000000000000007E-2</v>
      </c>
      <c r="V18" s="37">
        <v>7.0000000000000007E-2</v>
      </c>
      <c r="W18" s="37">
        <v>7.0000000000000007E-2</v>
      </c>
      <c r="X18" s="37">
        <v>7.0000000000000007E-2</v>
      </c>
      <c r="Y18" s="37">
        <v>7.0000000000000007E-2</v>
      </c>
      <c r="Z18" s="37">
        <v>7.0000000000000007E-2</v>
      </c>
      <c r="AA18" s="37">
        <v>7.0000000000000007E-2</v>
      </c>
      <c r="AB18" s="37">
        <v>7.0000000000000007E-2</v>
      </c>
      <c r="AC18" s="37">
        <v>7.0000000000000007E-2</v>
      </c>
      <c r="AD18" s="37">
        <v>7.0000000000000007E-2</v>
      </c>
      <c r="AE18" s="37">
        <v>7.0000000000000007E-2</v>
      </c>
      <c r="AF18" s="37">
        <v>7.0000000000000007E-2</v>
      </c>
      <c r="AG18" s="37">
        <v>7.0000000000000007E-2</v>
      </c>
      <c r="AH18" s="37">
        <v>7.0000000000000007E-2</v>
      </c>
      <c r="AI18" s="51">
        <v>7.0000000000000007E-2</v>
      </c>
    </row>
    <row r="19" spans="1:35" x14ac:dyDescent="0.25">
      <c r="B19" s="46" t="s">
        <v>59</v>
      </c>
      <c r="C19" s="54"/>
      <c r="D19" s="55"/>
      <c r="E19" s="47">
        <f>-(E17*E18)</f>
        <v>-99.995999999999995</v>
      </c>
      <c r="F19" s="48">
        <f>-(F17*F18)</f>
        <v>-1199.952</v>
      </c>
      <c r="G19" s="47">
        <f>-(G17*G18)</f>
        <v>-1028.1600000000001</v>
      </c>
      <c r="H19" s="47">
        <f t="shared" ref="H19:AI19" si="1">-(H17*H18)</f>
        <v>-1048.7232000000001</v>
      </c>
      <c r="I19" s="47">
        <f t="shared" si="1"/>
        <v>-1069.6976640000003</v>
      </c>
      <c r="J19" s="49">
        <f t="shared" si="1"/>
        <v>-1091.0916172800003</v>
      </c>
      <c r="K19" s="47">
        <f t="shared" si="1"/>
        <v>-1112.9134496256004</v>
      </c>
      <c r="L19" s="47">
        <f t="shared" si="1"/>
        <v>-1135.1717186181122</v>
      </c>
      <c r="M19" s="47">
        <f t="shared" si="1"/>
        <v>-1157.8751529904746</v>
      </c>
      <c r="N19" s="47">
        <f t="shared" si="1"/>
        <v>-1181.0326560502842</v>
      </c>
      <c r="O19" s="47">
        <f t="shared" si="1"/>
        <v>-1204.6533091712897</v>
      </c>
      <c r="P19" s="47">
        <f t="shared" si="1"/>
        <v>-1228.7463753547156</v>
      </c>
      <c r="Q19" s="47">
        <f t="shared" si="1"/>
        <v>-1253.3213028618097</v>
      </c>
      <c r="R19" s="47">
        <f t="shared" si="1"/>
        <v>-1278.3877289190459</v>
      </c>
      <c r="S19" s="47">
        <f t="shared" si="1"/>
        <v>-1303.9554834974267</v>
      </c>
      <c r="T19" s="49">
        <f t="shared" si="1"/>
        <v>-1330.0345931673753</v>
      </c>
      <c r="U19" s="47">
        <f t="shared" si="1"/>
        <v>-1356.6352850307228</v>
      </c>
      <c r="V19" s="47">
        <f t="shared" si="1"/>
        <v>-1383.7679907313372</v>
      </c>
      <c r="W19" s="47">
        <f t="shared" si="1"/>
        <v>-1411.4433505459642</v>
      </c>
      <c r="X19" s="47">
        <f t="shared" si="1"/>
        <v>-1439.6722175568834</v>
      </c>
      <c r="Y19" s="47">
        <f t="shared" si="1"/>
        <v>-1468.4656619080213</v>
      </c>
      <c r="Z19" s="47">
        <f t="shared" si="1"/>
        <v>-1497.8349751461817</v>
      </c>
      <c r="AA19" s="47">
        <f t="shared" si="1"/>
        <v>-1527.7916746491053</v>
      </c>
      <c r="AB19" s="47">
        <f t="shared" si="1"/>
        <v>-1558.3475081420872</v>
      </c>
      <c r="AC19" s="47">
        <f t="shared" si="1"/>
        <v>-1589.5144583049289</v>
      </c>
      <c r="AD19" s="47">
        <f t="shared" si="1"/>
        <v>-1621.3047474710277</v>
      </c>
      <c r="AE19" s="47">
        <f t="shared" si="1"/>
        <v>-1653.730842420448</v>
      </c>
      <c r="AF19" s="47">
        <f t="shared" si="1"/>
        <v>-1686.805459268857</v>
      </c>
      <c r="AG19" s="47">
        <f t="shared" si="1"/>
        <v>-1720.541568454234</v>
      </c>
      <c r="AH19" s="47">
        <f t="shared" si="1"/>
        <v>-1754.9523998233187</v>
      </c>
      <c r="AI19" s="50">
        <f t="shared" si="1"/>
        <v>-1790.0514478197849</v>
      </c>
    </row>
    <row r="20" spans="1:35" x14ac:dyDescent="0.25">
      <c r="B20" s="56" t="s">
        <v>60</v>
      </c>
      <c r="C20" s="57"/>
      <c r="D20" s="58"/>
      <c r="E20" s="58">
        <f>E17+E19</f>
        <v>1100.0039999999999</v>
      </c>
      <c r="F20" s="59">
        <f>F17+F19</f>
        <v>13200.048000000001</v>
      </c>
      <c r="G20" s="60">
        <f>G17+G19</f>
        <v>13659.84</v>
      </c>
      <c r="H20" s="60">
        <f t="shared" ref="H20:AI20" si="2">H17+H19</f>
        <v>13933.0368</v>
      </c>
      <c r="I20" s="60">
        <f t="shared" si="2"/>
        <v>14211.697536</v>
      </c>
      <c r="J20" s="61">
        <f t="shared" si="2"/>
        <v>14495.931486720001</v>
      </c>
      <c r="K20" s="60">
        <f t="shared" si="2"/>
        <v>14785.850116454401</v>
      </c>
      <c r="L20" s="60">
        <f t="shared" si="2"/>
        <v>15081.567118783491</v>
      </c>
      <c r="M20" s="60">
        <f t="shared" si="2"/>
        <v>15383.19846115916</v>
      </c>
      <c r="N20" s="60">
        <f t="shared" si="2"/>
        <v>15690.862430382345</v>
      </c>
      <c r="O20" s="60">
        <f t="shared" si="2"/>
        <v>16004.679678989991</v>
      </c>
      <c r="P20" s="60">
        <f t="shared" si="2"/>
        <v>16324.77327256979</v>
      </c>
      <c r="Q20" s="60">
        <f t="shared" si="2"/>
        <v>16651.268738021186</v>
      </c>
      <c r="R20" s="60">
        <f t="shared" si="2"/>
        <v>16984.294112781608</v>
      </c>
      <c r="S20" s="60">
        <f t="shared" si="2"/>
        <v>17323.97999503724</v>
      </c>
      <c r="T20" s="61">
        <f t="shared" si="2"/>
        <v>17670.459594937984</v>
      </c>
      <c r="U20" s="60">
        <f t="shared" si="2"/>
        <v>18023.868786836745</v>
      </c>
      <c r="V20" s="60">
        <f t="shared" si="2"/>
        <v>18384.346162573482</v>
      </c>
      <c r="W20" s="60">
        <f t="shared" si="2"/>
        <v>18752.033085824951</v>
      </c>
      <c r="X20" s="60">
        <f t="shared" si="2"/>
        <v>19127.07374754145</v>
      </c>
      <c r="Y20" s="60">
        <f t="shared" si="2"/>
        <v>19509.615222492281</v>
      </c>
      <c r="Z20" s="60">
        <f t="shared" si="2"/>
        <v>19899.807526942124</v>
      </c>
      <c r="AA20" s="60">
        <f t="shared" si="2"/>
        <v>20297.803677480966</v>
      </c>
      <c r="AB20" s="60">
        <f t="shared" si="2"/>
        <v>20703.759751030586</v>
      </c>
      <c r="AC20" s="60">
        <f t="shared" si="2"/>
        <v>21117.834946051196</v>
      </c>
      <c r="AD20" s="60">
        <f t="shared" si="2"/>
        <v>21540.191644972219</v>
      </c>
      <c r="AE20" s="60">
        <f t="shared" si="2"/>
        <v>21970.995477871664</v>
      </c>
      <c r="AF20" s="60">
        <f t="shared" si="2"/>
        <v>22410.415387429097</v>
      </c>
      <c r="AG20" s="60">
        <f t="shared" si="2"/>
        <v>22858.623695177677</v>
      </c>
      <c r="AH20" s="60">
        <f t="shared" si="2"/>
        <v>23315.79616908123</v>
      </c>
      <c r="AI20" s="62">
        <f t="shared" si="2"/>
        <v>23782.112092462856</v>
      </c>
    </row>
    <row r="21" spans="1:35" x14ac:dyDescent="0.25">
      <c r="A21" s="27"/>
      <c r="B21" s="27"/>
      <c r="C21" s="27"/>
      <c r="D21" s="27"/>
      <c r="E21" s="27"/>
      <c r="F21" s="63"/>
      <c r="G21" s="27"/>
      <c r="H21" s="27"/>
      <c r="I21" s="27"/>
      <c r="J21" s="64"/>
      <c r="K21" s="27"/>
      <c r="L21" s="27"/>
      <c r="O21" s="65"/>
      <c r="P21" s="65"/>
      <c r="Q21" s="65"/>
      <c r="R21" s="65"/>
      <c r="S21" s="65"/>
      <c r="T21" s="66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5" x14ac:dyDescent="0.25">
      <c r="B22" s="67" t="s">
        <v>61</v>
      </c>
      <c r="C22" s="68"/>
      <c r="D22" s="68"/>
      <c r="E22" s="68"/>
      <c r="F22" s="41"/>
      <c r="G22" s="68"/>
      <c r="H22" s="68"/>
      <c r="I22" s="68"/>
      <c r="J22" s="69"/>
      <c r="K22" s="68"/>
      <c r="L22" s="68"/>
      <c r="M22" s="70"/>
      <c r="N22" s="70"/>
      <c r="O22" s="70"/>
      <c r="P22" s="70"/>
      <c r="Q22" s="70"/>
      <c r="R22" s="70"/>
      <c r="S22" s="70"/>
      <c r="T22" s="71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1:35" x14ac:dyDescent="0.25">
      <c r="B23" s="132" t="s">
        <v>62</v>
      </c>
      <c r="C23" s="133"/>
      <c r="D23" s="3" t="s">
        <v>63</v>
      </c>
      <c r="E23" s="73">
        <v>1800</v>
      </c>
      <c r="F23" s="48">
        <f t="shared" ref="F23:F28" si="3">E23</f>
        <v>1800</v>
      </c>
      <c r="G23" s="47">
        <f t="shared" ref="G23:AI23" si="4">F23+(G13*F23)</f>
        <v>1836</v>
      </c>
      <c r="H23" s="47">
        <f t="shared" si="4"/>
        <v>1872.72</v>
      </c>
      <c r="I23" s="47">
        <f t="shared" si="4"/>
        <v>1910.1744000000001</v>
      </c>
      <c r="J23" s="49">
        <f t="shared" si="4"/>
        <v>1948.3778880000002</v>
      </c>
      <c r="K23" s="47">
        <f t="shared" si="4"/>
        <v>1987.3454457600003</v>
      </c>
      <c r="L23" s="47">
        <f t="shared" si="4"/>
        <v>2027.0923546752003</v>
      </c>
      <c r="M23" s="47">
        <f t="shared" si="4"/>
        <v>2067.6342017687043</v>
      </c>
      <c r="N23" s="47">
        <f t="shared" si="4"/>
        <v>2108.9868858040786</v>
      </c>
      <c r="O23" s="47">
        <f t="shared" si="4"/>
        <v>2151.1666235201601</v>
      </c>
      <c r="P23" s="47">
        <f t="shared" si="4"/>
        <v>2194.1899559905632</v>
      </c>
      <c r="Q23" s="47">
        <f t="shared" si="4"/>
        <v>2238.0737551103743</v>
      </c>
      <c r="R23" s="47">
        <f t="shared" si="4"/>
        <v>2282.8352302125818</v>
      </c>
      <c r="S23" s="47">
        <f t="shared" si="4"/>
        <v>2328.4919348168332</v>
      </c>
      <c r="T23" s="49">
        <f t="shared" si="4"/>
        <v>2375.06177351317</v>
      </c>
      <c r="U23" s="47">
        <f t="shared" si="4"/>
        <v>2422.5630089834335</v>
      </c>
      <c r="V23" s="47">
        <f t="shared" si="4"/>
        <v>2471.0142691631022</v>
      </c>
      <c r="W23" s="47">
        <f t="shared" si="4"/>
        <v>2520.4345545463643</v>
      </c>
      <c r="X23" s="47">
        <f t="shared" si="4"/>
        <v>2570.8432456372916</v>
      </c>
      <c r="Y23" s="47">
        <f t="shared" si="4"/>
        <v>2622.2601105500376</v>
      </c>
      <c r="Z23" s="47">
        <f t="shared" si="4"/>
        <v>2674.7053127610384</v>
      </c>
      <c r="AA23" s="47">
        <f t="shared" si="4"/>
        <v>2728.1994190162591</v>
      </c>
      <c r="AB23" s="47">
        <f t="shared" si="4"/>
        <v>2782.7634073965842</v>
      </c>
      <c r="AC23" s="47">
        <f t="shared" si="4"/>
        <v>2838.4186755445157</v>
      </c>
      <c r="AD23" s="47">
        <f t="shared" si="4"/>
        <v>2895.1870490554061</v>
      </c>
      <c r="AE23" s="47">
        <f t="shared" si="4"/>
        <v>2953.0907900365141</v>
      </c>
      <c r="AF23" s="47">
        <f t="shared" si="4"/>
        <v>3012.1526058372442</v>
      </c>
      <c r="AG23" s="47">
        <f t="shared" si="4"/>
        <v>3072.395657953989</v>
      </c>
      <c r="AH23" s="47">
        <f t="shared" si="4"/>
        <v>3133.8435711130687</v>
      </c>
      <c r="AI23" s="50">
        <f t="shared" si="4"/>
        <v>3196.5204425353299</v>
      </c>
    </row>
    <row r="24" spans="1:35" x14ac:dyDescent="0.25">
      <c r="B24" s="132" t="s">
        <v>64</v>
      </c>
      <c r="C24" s="133"/>
      <c r="D24" s="3" t="s">
        <v>63</v>
      </c>
      <c r="E24" s="73">
        <v>400</v>
      </c>
      <c r="F24" s="48">
        <f t="shared" si="3"/>
        <v>400</v>
      </c>
      <c r="G24" s="47">
        <f t="shared" ref="G24:AI24" si="5">F24+(G13*F24)</f>
        <v>408</v>
      </c>
      <c r="H24" s="47">
        <f t="shared" si="5"/>
        <v>416.16</v>
      </c>
      <c r="I24" s="47">
        <f t="shared" si="5"/>
        <v>424.48320000000001</v>
      </c>
      <c r="J24" s="49">
        <f t="shared" si="5"/>
        <v>432.97286400000002</v>
      </c>
      <c r="K24" s="47">
        <f t="shared" si="5"/>
        <v>441.63232128000004</v>
      </c>
      <c r="L24" s="47">
        <f t="shared" si="5"/>
        <v>450.46496770560003</v>
      </c>
      <c r="M24" s="47">
        <f t="shared" si="5"/>
        <v>459.47426705971202</v>
      </c>
      <c r="N24" s="47">
        <f t="shared" si="5"/>
        <v>468.66375240090628</v>
      </c>
      <c r="O24" s="47">
        <f t="shared" si="5"/>
        <v>478.03702744892439</v>
      </c>
      <c r="P24" s="47">
        <f t="shared" si="5"/>
        <v>487.59776799790291</v>
      </c>
      <c r="Q24" s="47">
        <f t="shared" si="5"/>
        <v>497.34972335786097</v>
      </c>
      <c r="R24" s="47">
        <f t="shared" si="5"/>
        <v>507.29671782501816</v>
      </c>
      <c r="S24" s="47">
        <f t="shared" si="5"/>
        <v>517.4426521815185</v>
      </c>
      <c r="T24" s="49">
        <f t="shared" si="5"/>
        <v>527.79150522514885</v>
      </c>
      <c r="U24" s="47">
        <f t="shared" si="5"/>
        <v>538.34733532965186</v>
      </c>
      <c r="V24" s="47">
        <f t="shared" si="5"/>
        <v>549.11428203624484</v>
      </c>
      <c r="W24" s="47">
        <f t="shared" si="5"/>
        <v>560.0965676769697</v>
      </c>
      <c r="X24" s="47">
        <f t="shared" si="5"/>
        <v>571.29849903050911</v>
      </c>
      <c r="Y24" s="47">
        <f t="shared" si="5"/>
        <v>582.72446901111925</v>
      </c>
      <c r="Z24" s="47">
        <f t="shared" si="5"/>
        <v>594.3789583913416</v>
      </c>
      <c r="AA24" s="47">
        <f t="shared" si="5"/>
        <v>606.26653755916846</v>
      </c>
      <c r="AB24" s="47">
        <f t="shared" si="5"/>
        <v>618.39186831035181</v>
      </c>
      <c r="AC24" s="47">
        <f t="shared" si="5"/>
        <v>630.75970567655884</v>
      </c>
      <c r="AD24" s="47">
        <f t="shared" si="5"/>
        <v>643.37489979009001</v>
      </c>
      <c r="AE24" s="47">
        <f t="shared" si="5"/>
        <v>656.24239778589185</v>
      </c>
      <c r="AF24" s="47">
        <f t="shared" si="5"/>
        <v>669.36724574160974</v>
      </c>
      <c r="AG24" s="47">
        <f t="shared" si="5"/>
        <v>682.75459065644191</v>
      </c>
      <c r="AH24" s="47">
        <f t="shared" si="5"/>
        <v>696.40968246957073</v>
      </c>
      <c r="AI24" s="50">
        <f t="shared" si="5"/>
        <v>710.33787611896219</v>
      </c>
    </row>
    <row r="25" spans="1:35" x14ac:dyDescent="0.25">
      <c r="B25" s="132" t="s">
        <v>65</v>
      </c>
      <c r="C25" s="133"/>
      <c r="D25" s="27" t="s">
        <v>63</v>
      </c>
      <c r="E25" s="73">
        <v>1200</v>
      </c>
      <c r="F25" s="48">
        <f t="shared" si="3"/>
        <v>1200</v>
      </c>
      <c r="G25" s="47">
        <f t="shared" ref="G25:AI25" si="6">F25+(G13*F25)</f>
        <v>1224</v>
      </c>
      <c r="H25" s="47">
        <f t="shared" si="6"/>
        <v>1248.48</v>
      </c>
      <c r="I25" s="47">
        <f t="shared" si="6"/>
        <v>1273.4495999999999</v>
      </c>
      <c r="J25" s="49">
        <f t="shared" si="6"/>
        <v>1298.918592</v>
      </c>
      <c r="K25" s="47">
        <f t="shared" si="6"/>
        <v>1324.8969638399999</v>
      </c>
      <c r="L25" s="47">
        <f t="shared" si="6"/>
        <v>1351.3949031167999</v>
      </c>
      <c r="M25" s="47">
        <f t="shared" si="6"/>
        <v>1378.4228011791358</v>
      </c>
      <c r="N25" s="47">
        <f t="shared" si="6"/>
        <v>1405.9912572027185</v>
      </c>
      <c r="O25" s="47">
        <f t="shared" si="6"/>
        <v>1434.1110823467729</v>
      </c>
      <c r="P25" s="47">
        <f t="shared" si="6"/>
        <v>1462.7933039937084</v>
      </c>
      <c r="Q25" s="47">
        <f t="shared" si="6"/>
        <v>1492.0491700735824</v>
      </c>
      <c r="R25" s="47">
        <f t="shared" si="6"/>
        <v>1521.8901534750541</v>
      </c>
      <c r="S25" s="47">
        <f t="shared" si="6"/>
        <v>1552.3279565445553</v>
      </c>
      <c r="T25" s="49">
        <f t="shared" si="6"/>
        <v>1583.3745156754464</v>
      </c>
      <c r="U25" s="47">
        <f t="shared" si="6"/>
        <v>1615.0420059889555</v>
      </c>
      <c r="V25" s="47">
        <f t="shared" si="6"/>
        <v>1647.3428461087346</v>
      </c>
      <c r="W25" s="47">
        <f t="shared" si="6"/>
        <v>1680.2897030309093</v>
      </c>
      <c r="X25" s="47">
        <f t="shared" si="6"/>
        <v>1713.8954970915274</v>
      </c>
      <c r="Y25" s="47">
        <f t="shared" si="6"/>
        <v>1748.173407033358</v>
      </c>
      <c r="Z25" s="47">
        <f t="shared" si="6"/>
        <v>1783.1368751740251</v>
      </c>
      <c r="AA25" s="47">
        <f t="shared" si="6"/>
        <v>1818.7996126775056</v>
      </c>
      <c r="AB25" s="47">
        <f t="shared" si="6"/>
        <v>1855.1756049310557</v>
      </c>
      <c r="AC25" s="47">
        <f t="shared" si="6"/>
        <v>1892.2791170296769</v>
      </c>
      <c r="AD25" s="47">
        <f t="shared" si="6"/>
        <v>1930.1246993702705</v>
      </c>
      <c r="AE25" s="47">
        <f t="shared" si="6"/>
        <v>1968.7271933576758</v>
      </c>
      <c r="AF25" s="47">
        <f t="shared" si="6"/>
        <v>2008.1017372248293</v>
      </c>
      <c r="AG25" s="47">
        <f t="shared" si="6"/>
        <v>2048.2637719693257</v>
      </c>
      <c r="AH25" s="47">
        <f t="shared" si="6"/>
        <v>2089.2290474087122</v>
      </c>
      <c r="AI25" s="50">
        <f t="shared" si="6"/>
        <v>2131.0136283568863</v>
      </c>
    </row>
    <row r="26" spans="1:35" x14ac:dyDescent="0.25">
      <c r="B26" s="132" t="s">
        <v>66</v>
      </c>
      <c r="C26" s="133"/>
      <c r="D26" s="3" t="s">
        <v>63</v>
      </c>
      <c r="E26" s="73">
        <v>0</v>
      </c>
      <c r="F26" s="48">
        <f t="shared" si="3"/>
        <v>0</v>
      </c>
      <c r="G26" s="47">
        <f t="shared" ref="G26:AI26" si="7">F26+(G13*F26)</f>
        <v>0</v>
      </c>
      <c r="H26" s="47">
        <f t="shared" si="7"/>
        <v>0</v>
      </c>
      <c r="I26" s="47">
        <f t="shared" si="7"/>
        <v>0</v>
      </c>
      <c r="J26" s="49">
        <f t="shared" si="7"/>
        <v>0</v>
      </c>
      <c r="K26" s="47">
        <f t="shared" si="7"/>
        <v>0</v>
      </c>
      <c r="L26" s="47">
        <f t="shared" si="7"/>
        <v>0</v>
      </c>
      <c r="M26" s="47">
        <f t="shared" si="7"/>
        <v>0</v>
      </c>
      <c r="N26" s="47">
        <f t="shared" si="7"/>
        <v>0</v>
      </c>
      <c r="O26" s="47">
        <f t="shared" si="7"/>
        <v>0</v>
      </c>
      <c r="P26" s="47">
        <f t="shared" si="7"/>
        <v>0</v>
      </c>
      <c r="Q26" s="47">
        <f t="shared" si="7"/>
        <v>0</v>
      </c>
      <c r="R26" s="47">
        <f t="shared" si="7"/>
        <v>0</v>
      </c>
      <c r="S26" s="47">
        <f t="shared" si="7"/>
        <v>0</v>
      </c>
      <c r="T26" s="49">
        <f t="shared" si="7"/>
        <v>0</v>
      </c>
      <c r="U26" s="47">
        <f t="shared" si="7"/>
        <v>0</v>
      </c>
      <c r="V26" s="47">
        <f t="shared" si="7"/>
        <v>0</v>
      </c>
      <c r="W26" s="47">
        <f t="shared" si="7"/>
        <v>0</v>
      </c>
      <c r="X26" s="47">
        <f t="shared" si="7"/>
        <v>0</v>
      </c>
      <c r="Y26" s="47">
        <f t="shared" si="7"/>
        <v>0</v>
      </c>
      <c r="Z26" s="47">
        <f t="shared" si="7"/>
        <v>0</v>
      </c>
      <c r="AA26" s="47">
        <f t="shared" si="7"/>
        <v>0</v>
      </c>
      <c r="AB26" s="47">
        <f t="shared" si="7"/>
        <v>0</v>
      </c>
      <c r="AC26" s="47">
        <f t="shared" si="7"/>
        <v>0</v>
      </c>
      <c r="AD26" s="47">
        <f t="shared" si="7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  <c r="AI26" s="50">
        <f t="shared" si="7"/>
        <v>0</v>
      </c>
    </row>
    <row r="27" spans="1:35" x14ac:dyDescent="0.25">
      <c r="B27" s="132" t="s">
        <v>67</v>
      </c>
      <c r="C27" s="133"/>
      <c r="D27" s="3" t="s">
        <v>63</v>
      </c>
      <c r="E27" s="73">
        <v>150</v>
      </c>
      <c r="F27" s="48">
        <f t="shared" si="3"/>
        <v>150</v>
      </c>
      <c r="G27" s="47">
        <f t="shared" ref="G27:AI27" si="8">F27+(G13*F27)</f>
        <v>153</v>
      </c>
      <c r="H27" s="47">
        <f t="shared" si="8"/>
        <v>156.06</v>
      </c>
      <c r="I27" s="47">
        <f t="shared" si="8"/>
        <v>159.18119999999999</v>
      </c>
      <c r="J27" s="49">
        <f t="shared" si="8"/>
        <v>162.364824</v>
      </c>
      <c r="K27" s="47">
        <f t="shared" si="8"/>
        <v>165.61212047999999</v>
      </c>
      <c r="L27" s="47">
        <f t="shared" si="8"/>
        <v>168.92436288959999</v>
      </c>
      <c r="M27" s="47">
        <f t="shared" si="8"/>
        <v>172.30285014739198</v>
      </c>
      <c r="N27" s="47">
        <f t="shared" si="8"/>
        <v>175.74890715033982</v>
      </c>
      <c r="O27" s="47">
        <f t="shared" si="8"/>
        <v>179.26388529334662</v>
      </c>
      <c r="P27" s="47">
        <f t="shared" si="8"/>
        <v>182.84916299921355</v>
      </c>
      <c r="Q27" s="47">
        <f t="shared" si="8"/>
        <v>186.50614625919781</v>
      </c>
      <c r="R27" s="47">
        <f t="shared" si="8"/>
        <v>190.23626918438177</v>
      </c>
      <c r="S27" s="47">
        <f t="shared" si="8"/>
        <v>194.04099456806941</v>
      </c>
      <c r="T27" s="49">
        <f t="shared" si="8"/>
        <v>197.92181445943081</v>
      </c>
      <c r="U27" s="47">
        <f t="shared" si="8"/>
        <v>201.88025074861943</v>
      </c>
      <c r="V27" s="47">
        <f t="shared" si="8"/>
        <v>205.91785576359183</v>
      </c>
      <c r="W27" s="47">
        <f t="shared" si="8"/>
        <v>210.03621287886367</v>
      </c>
      <c r="X27" s="47">
        <f t="shared" si="8"/>
        <v>214.23693713644093</v>
      </c>
      <c r="Y27" s="47">
        <f t="shared" si="8"/>
        <v>218.52167587916975</v>
      </c>
      <c r="Z27" s="47">
        <f t="shared" si="8"/>
        <v>222.89210939675314</v>
      </c>
      <c r="AA27" s="47">
        <f t="shared" si="8"/>
        <v>227.3499515846882</v>
      </c>
      <c r="AB27" s="47">
        <f t="shared" si="8"/>
        <v>231.89695061638196</v>
      </c>
      <c r="AC27" s="47">
        <f t="shared" si="8"/>
        <v>236.53488962870961</v>
      </c>
      <c r="AD27" s="47">
        <f t="shared" si="8"/>
        <v>241.26558742128381</v>
      </c>
      <c r="AE27" s="47">
        <f t="shared" si="8"/>
        <v>246.09089916970947</v>
      </c>
      <c r="AF27" s="47">
        <f t="shared" si="8"/>
        <v>251.01271715310367</v>
      </c>
      <c r="AG27" s="47">
        <f t="shared" si="8"/>
        <v>256.03297149616571</v>
      </c>
      <c r="AH27" s="47">
        <f t="shared" si="8"/>
        <v>261.15363092608902</v>
      </c>
      <c r="AI27" s="50">
        <f t="shared" si="8"/>
        <v>266.37670354461079</v>
      </c>
    </row>
    <row r="28" spans="1:35" x14ac:dyDescent="0.25">
      <c r="B28" s="132" t="s">
        <v>68</v>
      </c>
      <c r="C28" s="133"/>
      <c r="D28" s="3" t="s">
        <v>63</v>
      </c>
      <c r="E28" s="73">
        <v>150</v>
      </c>
      <c r="F28" s="48">
        <f t="shared" si="3"/>
        <v>150</v>
      </c>
      <c r="G28" s="47">
        <f t="shared" ref="G28:AI28" si="9">F28+(G13*F28)</f>
        <v>153</v>
      </c>
      <c r="H28" s="47">
        <f t="shared" si="9"/>
        <v>156.06</v>
      </c>
      <c r="I28" s="47">
        <f t="shared" si="9"/>
        <v>159.18119999999999</v>
      </c>
      <c r="J28" s="49">
        <f t="shared" si="9"/>
        <v>162.364824</v>
      </c>
      <c r="K28" s="47">
        <f t="shared" si="9"/>
        <v>165.61212047999999</v>
      </c>
      <c r="L28" s="47">
        <f t="shared" si="9"/>
        <v>168.92436288959999</v>
      </c>
      <c r="M28" s="47">
        <f t="shared" si="9"/>
        <v>172.30285014739198</v>
      </c>
      <c r="N28" s="47">
        <f t="shared" si="9"/>
        <v>175.74890715033982</v>
      </c>
      <c r="O28" s="47">
        <f t="shared" si="9"/>
        <v>179.26388529334662</v>
      </c>
      <c r="P28" s="47">
        <f t="shared" si="9"/>
        <v>182.84916299921355</v>
      </c>
      <c r="Q28" s="47">
        <f t="shared" si="9"/>
        <v>186.50614625919781</v>
      </c>
      <c r="R28" s="47">
        <f t="shared" si="9"/>
        <v>190.23626918438177</v>
      </c>
      <c r="S28" s="47">
        <f t="shared" si="9"/>
        <v>194.04099456806941</v>
      </c>
      <c r="T28" s="49">
        <f t="shared" si="9"/>
        <v>197.92181445943081</v>
      </c>
      <c r="U28" s="47">
        <f t="shared" si="9"/>
        <v>201.88025074861943</v>
      </c>
      <c r="V28" s="47">
        <f t="shared" si="9"/>
        <v>205.91785576359183</v>
      </c>
      <c r="W28" s="47">
        <f t="shared" si="9"/>
        <v>210.03621287886367</v>
      </c>
      <c r="X28" s="47">
        <f t="shared" si="9"/>
        <v>214.23693713644093</v>
      </c>
      <c r="Y28" s="47">
        <f t="shared" si="9"/>
        <v>218.52167587916975</v>
      </c>
      <c r="Z28" s="47">
        <f t="shared" si="9"/>
        <v>222.89210939675314</v>
      </c>
      <c r="AA28" s="47">
        <f t="shared" si="9"/>
        <v>227.3499515846882</v>
      </c>
      <c r="AB28" s="47">
        <f t="shared" si="9"/>
        <v>231.89695061638196</v>
      </c>
      <c r="AC28" s="47">
        <f t="shared" si="9"/>
        <v>236.53488962870961</v>
      </c>
      <c r="AD28" s="47">
        <f t="shared" si="9"/>
        <v>241.26558742128381</v>
      </c>
      <c r="AE28" s="47">
        <f t="shared" si="9"/>
        <v>246.09089916970947</v>
      </c>
      <c r="AF28" s="47">
        <f t="shared" si="9"/>
        <v>251.01271715310367</v>
      </c>
      <c r="AG28" s="47">
        <f t="shared" si="9"/>
        <v>256.03297149616571</v>
      </c>
      <c r="AH28" s="47">
        <f t="shared" si="9"/>
        <v>261.15363092608902</v>
      </c>
      <c r="AI28" s="50">
        <f t="shared" si="9"/>
        <v>266.37670354461079</v>
      </c>
    </row>
    <row r="29" spans="1:35" x14ac:dyDescent="0.25">
      <c r="B29" s="132" t="s">
        <v>69</v>
      </c>
      <c r="C29" s="133"/>
      <c r="D29" s="27" t="s">
        <v>70</v>
      </c>
      <c r="E29" s="74">
        <v>0.12</v>
      </c>
      <c r="F29" s="48">
        <f>E29*F20</f>
        <v>1584.00576</v>
      </c>
      <c r="G29" s="47">
        <f t="shared" ref="G29:AI29" si="10">$E29*G20</f>
        <v>1639.1807999999999</v>
      </c>
      <c r="H29" s="47">
        <f t="shared" si="10"/>
        <v>1671.964416</v>
      </c>
      <c r="I29" s="47">
        <f t="shared" si="10"/>
        <v>1705.4037043199999</v>
      </c>
      <c r="J29" s="49">
        <f t="shared" si="10"/>
        <v>1739.5117784064</v>
      </c>
      <c r="K29" s="47">
        <f t="shared" si="10"/>
        <v>1774.3020139745281</v>
      </c>
      <c r="L29" s="47">
        <f t="shared" si="10"/>
        <v>1809.7880542540188</v>
      </c>
      <c r="M29" s="47">
        <f t="shared" si="10"/>
        <v>1845.983815339099</v>
      </c>
      <c r="N29" s="47">
        <f t="shared" si="10"/>
        <v>1882.9034916458813</v>
      </c>
      <c r="O29" s="47">
        <f t="shared" si="10"/>
        <v>1920.5615614787989</v>
      </c>
      <c r="P29" s="47">
        <f t="shared" si="10"/>
        <v>1958.9727927083748</v>
      </c>
      <c r="Q29" s="47">
        <f t="shared" si="10"/>
        <v>1998.1522485625424</v>
      </c>
      <c r="R29" s="47">
        <f t="shared" si="10"/>
        <v>2038.115293533793</v>
      </c>
      <c r="S29" s="47">
        <f t="shared" si="10"/>
        <v>2078.8775994044686</v>
      </c>
      <c r="T29" s="49">
        <f t="shared" si="10"/>
        <v>2120.455151392558</v>
      </c>
      <c r="U29" s="47">
        <f t="shared" si="10"/>
        <v>2162.8642544204095</v>
      </c>
      <c r="V29" s="47">
        <f t="shared" si="10"/>
        <v>2206.1215395088179</v>
      </c>
      <c r="W29" s="47">
        <f t="shared" si="10"/>
        <v>2250.2439702989941</v>
      </c>
      <c r="X29" s="47">
        <f t="shared" si="10"/>
        <v>2295.248849704974</v>
      </c>
      <c r="Y29" s="47">
        <f t="shared" si="10"/>
        <v>2341.1538266990738</v>
      </c>
      <c r="Z29" s="47">
        <f t="shared" si="10"/>
        <v>2387.9769032330546</v>
      </c>
      <c r="AA29" s="47">
        <f t="shared" si="10"/>
        <v>2435.7364412977158</v>
      </c>
      <c r="AB29" s="47">
        <f t="shared" si="10"/>
        <v>2484.4511701236702</v>
      </c>
      <c r="AC29" s="47">
        <f t="shared" si="10"/>
        <v>2534.1401935261433</v>
      </c>
      <c r="AD29" s="47">
        <f t="shared" si="10"/>
        <v>2584.8229973966663</v>
      </c>
      <c r="AE29" s="47">
        <f t="shared" si="10"/>
        <v>2636.5194573445997</v>
      </c>
      <c r="AF29" s="47">
        <f t="shared" si="10"/>
        <v>2689.2498464914916</v>
      </c>
      <c r="AG29" s="47">
        <f t="shared" si="10"/>
        <v>2743.0348434213211</v>
      </c>
      <c r="AH29" s="47">
        <f t="shared" si="10"/>
        <v>2797.8955402897473</v>
      </c>
      <c r="AI29" s="50">
        <f t="shared" si="10"/>
        <v>2853.8534510955424</v>
      </c>
    </row>
    <row r="30" spans="1:35" x14ac:dyDescent="0.25">
      <c r="B30" s="132" t="s">
        <v>71</v>
      </c>
      <c r="C30" s="133"/>
      <c r="D30" s="27" t="s">
        <v>63</v>
      </c>
      <c r="E30" s="73">
        <v>0</v>
      </c>
      <c r="F30" s="48">
        <v>0</v>
      </c>
      <c r="G30" s="47">
        <f t="shared" ref="G30:AI30" si="11">F30+(G13*F30)</f>
        <v>0</v>
      </c>
      <c r="H30" s="47">
        <f t="shared" si="11"/>
        <v>0</v>
      </c>
      <c r="I30" s="47">
        <f t="shared" si="11"/>
        <v>0</v>
      </c>
      <c r="J30" s="49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</v>
      </c>
      <c r="P30" s="47">
        <f t="shared" si="11"/>
        <v>0</v>
      </c>
      <c r="Q30" s="47">
        <f t="shared" si="11"/>
        <v>0</v>
      </c>
      <c r="R30" s="47">
        <f t="shared" si="11"/>
        <v>0</v>
      </c>
      <c r="S30" s="47">
        <f t="shared" si="11"/>
        <v>0</v>
      </c>
      <c r="T30" s="49">
        <f t="shared" si="11"/>
        <v>0</v>
      </c>
      <c r="U30" s="47">
        <f t="shared" si="11"/>
        <v>0</v>
      </c>
      <c r="V30" s="47">
        <f t="shared" si="11"/>
        <v>0</v>
      </c>
      <c r="W30" s="47">
        <f t="shared" si="11"/>
        <v>0</v>
      </c>
      <c r="X30" s="47">
        <f t="shared" si="11"/>
        <v>0</v>
      </c>
      <c r="Y30" s="47">
        <f t="shared" si="11"/>
        <v>0</v>
      </c>
      <c r="Z30" s="47">
        <f t="shared" si="11"/>
        <v>0</v>
      </c>
      <c r="AA30" s="47">
        <f t="shared" si="11"/>
        <v>0</v>
      </c>
      <c r="AB30" s="47">
        <f t="shared" si="11"/>
        <v>0</v>
      </c>
      <c r="AC30" s="47">
        <f t="shared" si="11"/>
        <v>0</v>
      </c>
      <c r="AD30" s="47">
        <f t="shared" si="11"/>
        <v>0</v>
      </c>
      <c r="AE30" s="47">
        <f t="shared" si="11"/>
        <v>0</v>
      </c>
      <c r="AF30" s="47">
        <f t="shared" si="11"/>
        <v>0</v>
      </c>
      <c r="AG30" s="47">
        <f t="shared" si="11"/>
        <v>0</v>
      </c>
      <c r="AH30" s="47">
        <f t="shared" si="11"/>
        <v>0</v>
      </c>
      <c r="AI30" s="50">
        <f t="shared" si="11"/>
        <v>0</v>
      </c>
    </row>
    <row r="31" spans="1:35" x14ac:dyDescent="0.25">
      <c r="B31" s="132" t="s">
        <v>72</v>
      </c>
      <c r="C31" s="133"/>
      <c r="D31" s="3" t="s">
        <v>63</v>
      </c>
      <c r="E31" s="73">
        <v>0</v>
      </c>
      <c r="F31" s="48">
        <f>E31</f>
        <v>0</v>
      </c>
      <c r="G31" s="47">
        <f t="shared" ref="G31:AI31" si="12">F31+(G13*F31)</f>
        <v>0</v>
      </c>
      <c r="H31" s="47">
        <f t="shared" si="12"/>
        <v>0</v>
      </c>
      <c r="I31" s="47">
        <f t="shared" si="12"/>
        <v>0</v>
      </c>
      <c r="J31" s="49">
        <f t="shared" si="12"/>
        <v>0</v>
      </c>
      <c r="K31" s="47">
        <f t="shared" si="12"/>
        <v>0</v>
      </c>
      <c r="L31" s="47">
        <f t="shared" si="12"/>
        <v>0</v>
      </c>
      <c r="M31" s="47">
        <f t="shared" si="12"/>
        <v>0</v>
      </c>
      <c r="N31" s="47">
        <f t="shared" si="12"/>
        <v>0</v>
      </c>
      <c r="O31" s="47">
        <f t="shared" si="12"/>
        <v>0</v>
      </c>
      <c r="P31" s="47">
        <f t="shared" si="12"/>
        <v>0</v>
      </c>
      <c r="Q31" s="47">
        <f t="shared" si="12"/>
        <v>0</v>
      </c>
      <c r="R31" s="47">
        <f t="shared" si="12"/>
        <v>0</v>
      </c>
      <c r="S31" s="47">
        <f t="shared" si="12"/>
        <v>0</v>
      </c>
      <c r="T31" s="49">
        <f t="shared" si="12"/>
        <v>0</v>
      </c>
      <c r="U31" s="47">
        <f t="shared" si="12"/>
        <v>0</v>
      </c>
      <c r="V31" s="47">
        <f t="shared" si="12"/>
        <v>0</v>
      </c>
      <c r="W31" s="47">
        <f t="shared" si="12"/>
        <v>0</v>
      </c>
      <c r="X31" s="47">
        <f t="shared" si="12"/>
        <v>0</v>
      </c>
      <c r="Y31" s="47">
        <f t="shared" si="12"/>
        <v>0</v>
      </c>
      <c r="Z31" s="47">
        <f t="shared" si="12"/>
        <v>0</v>
      </c>
      <c r="AA31" s="47">
        <f t="shared" si="12"/>
        <v>0</v>
      </c>
      <c r="AB31" s="47">
        <f t="shared" si="12"/>
        <v>0</v>
      </c>
      <c r="AC31" s="47">
        <f t="shared" si="12"/>
        <v>0</v>
      </c>
      <c r="AD31" s="47">
        <f t="shared" si="12"/>
        <v>0</v>
      </c>
      <c r="AE31" s="47">
        <f t="shared" si="12"/>
        <v>0</v>
      </c>
      <c r="AF31" s="47">
        <f t="shared" si="12"/>
        <v>0</v>
      </c>
      <c r="AG31" s="47">
        <f t="shared" si="12"/>
        <v>0</v>
      </c>
      <c r="AH31" s="47">
        <f t="shared" si="12"/>
        <v>0</v>
      </c>
      <c r="AI31" s="50">
        <f t="shared" si="12"/>
        <v>0</v>
      </c>
    </row>
    <row r="32" spans="1:35" x14ac:dyDescent="0.25">
      <c r="B32" s="132" t="s">
        <v>73</v>
      </c>
      <c r="C32" s="133"/>
      <c r="D32" s="3" t="s">
        <v>55</v>
      </c>
      <c r="E32" s="73">
        <v>0</v>
      </c>
      <c r="F32" s="48">
        <f>E32</f>
        <v>0</v>
      </c>
      <c r="G32" s="47">
        <f t="shared" ref="G32:AI32" si="13">F32+(G13*F32)</f>
        <v>0</v>
      </c>
      <c r="H32" s="47">
        <f t="shared" si="13"/>
        <v>0</v>
      </c>
      <c r="I32" s="47">
        <f t="shared" si="13"/>
        <v>0</v>
      </c>
      <c r="J32" s="49">
        <f t="shared" si="13"/>
        <v>0</v>
      </c>
      <c r="K32" s="47">
        <f t="shared" si="13"/>
        <v>0</v>
      </c>
      <c r="L32" s="47">
        <f t="shared" si="13"/>
        <v>0</v>
      </c>
      <c r="M32" s="47">
        <f t="shared" si="13"/>
        <v>0</v>
      </c>
      <c r="N32" s="47">
        <f t="shared" si="13"/>
        <v>0</v>
      </c>
      <c r="O32" s="47">
        <f t="shared" si="13"/>
        <v>0</v>
      </c>
      <c r="P32" s="47">
        <f t="shared" si="13"/>
        <v>0</v>
      </c>
      <c r="Q32" s="47">
        <f t="shared" si="13"/>
        <v>0</v>
      </c>
      <c r="R32" s="47">
        <f t="shared" si="13"/>
        <v>0</v>
      </c>
      <c r="S32" s="47">
        <f t="shared" si="13"/>
        <v>0</v>
      </c>
      <c r="T32" s="49">
        <f t="shared" si="13"/>
        <v>0</v>
      </c>
      <c r="U32" s="47">
        <f t="shared" si="13"/>
        <v>0</v>
      </c>
      <c r="V32" s="47">
        <f t="shared" si="13"/>
        <v>0</v>
      </c>
      <c r="W32" s="47">
        <f t="shared" si="13"/>
        <v>0</v>
      </c>
      <c r="X32" s="47">
        <f t="shared" si="13"/>
        <v>0</v>
      </c>
      <c r="Y32" s="47">
        <f t="shared" si="13"/>
        <v>0</v>
      </c>
      <c r="Z32" s="47">
        <f t="shared" si="13"/>
        <v>0</v>
      </c>
      <c r="AA32" s="47">
        <f t="shared" si="13"/>
        <v>0</v>
      </c>
      <c r="AB32" s="47">
        <f t="shared" si="13"/>
        <v>0</v>
      </c>
      <c r="AC32" s="47">
        <f t="shared" si="13"/>
        <v>0</v>
      </c>
      <c r="AD32" s="47">
        <f t="shared" si="13"/>
        <v>0</v>
      </c>
      <c r="AE32" s="47">
        <f t="shared" si="13"/>
        <v>0</v>
      </c>
      <c r="AF32" s="47">
        <f t="shared" si="13"/>
        <v>0</v>
      </c>
      <c r="AG32" s="47">
        <f t="shared" si="13"/>
        <v>0</v>
      </c>
      <c r="AH32" s="47">
        <f t="shared" si="13"/>
        <v>0</v>
      </c>
      <c r="AI32" s="50">
        <f t="shared" si="13"/>
        <v>0</v>
      </c>
    </row>
    <row r="33" spans="2:35" x14ac:dyDescent="0.25">
      <c r="B33" s="56" t="s">
        <v>74</v>
      </c>
      <c r="C33" s="57"/>
      <c r="D33" s="60"/>
      <c r="E33" s="60"/>
      <c r="F33" s="59">
        <f>SUM(F23:F32)</f>
        <v>5284.00576</v>
      </c>
      <c r="G33" s="75">
        <f>SUM(G23:G32)</f>
        <v>5413.1808000000001</v>
      </c>
      <c r="H33" s="75">
        <f t="shared" ref="H33:AI33" si="14">SUM(H23:H32)</f>
        <v>5521.4444160000003</v>
      </c>
      <c r="I33" s="75">
        <f t="shared" si="14"/>
        <v>5631.87330432</v>
      </c>
      <c r="J33" s="76">
        <f t="shared" si="14"/>
        <v>5744.5107704064012</v>
      </c>
      <c r="K33" s="75">
        <f t="shared" si="14"/>
        <v>5859.4009858145291</v>
      </c>
      <c r="L33" s="75">
        <f t="shared" si="14"/>
        <v>5976.5890055308191</v>
      </c>
      <c r="M33" s="75">
        <f t="shared" si="14"/>
        <v>6096.1207856414348</v>
      </c>
      <c r="N33" s="75">
        <f t="shared" si="14"/>
        <v>6218.0432013542641</v>
      </c>
      <c r="O33" s="75">
        <f t="shared" si="14"/>
        <v>6342.4040653813499</v>
      </c>
      <c r="P33" s="75">
        <f t="shared" si="14"/>
        <v>6469.2521466889757</v>
      </c>
      <c r="Q33" s="75">
        <f t="shared" si="14"/>
        <v>6598.6371896227556</v>
      </c>
      <c r="R33" s="75">
        <f t="shared" si="14"/>
        <v>6730.6099334152113</v>
      </c>
      <c r="S33" s="75">
        <f t="shared" si="14"/>
        <v>6865.2221320835142</v>
      </c>
      <c r="T33" s="76">
        <f t="shared" si="14"/>
        <v>7002.5265747251842</v>
      </c>
      <c r="U33" s="75">
        <f t="shared" si="14"/>
        <v>7142.57710621969</v>
      </c>
      <c r="V33" s="75">
        <f t="shared" si="14"/>
        <v>7285.4286483440828</v>
      </c>
      <c r="W33" s="75">
        <f t="shared" si="14"/>
        <v>7431.1372213109653</v>
      </c>
      <c r="X33" s="75">
        <f t="shared" si="14"/>
        <v>7579.7599657371848</v>
      </c>
      <c r="Y33" s="75">
        <f t="shared" si="14"/>
        <v>7731.3551650519275</v>
      </c>
      <c r="Z33" s="75">
        <f t="shared" si="14"/>
        <v>7885.9822683529655</v>
      </c>
      <c r="AA33" s="75">
        <f t="shared" si="14"/>
        <v>8043.701913720025</v>
      </c>
      <c r="AB33" s="75">
        <f t="shared" si="14"/>
        <v>8204.5759519944258</v>
      </c>
      <c r="AC33" s="75">
        <f t="shared" si="14"/>
        <v>8368.6674710343141</v>
      </c>
      <c r="AD33" s="75">
        <f t="shared" si="14"/>
        <v>8536.0408204550004</v>
      </c>
      <c r="AE33" s="75">
        <f t="shared" si="14"/>
        <v>8706.7616368641011</v>
      </c>
      <c r="AF33" s="75">
        <f t="shared" si="14"/>
        <v>8880.8968696013835</v>
      </c>
      <c r="AG33" s="75">
        <f t="shared" si="14"/>
        <v>9058.5148069934075</v>
      </c>
      <c r="AH33" s="75">
        <f t="shared" si="14"/>
        <v>9239.6851031332772</v>
      </c>
      <c r="AI33" s="75">
        <f t="shared" si="14"/>
        <v>9424.4788051959422</v>
      </c>
    </row>
    <row r="34" spans="2:35" x14ac:dyDescent="0.25">
      <c r="B34" s="27" t="s">
        <v>75</v>
      </c>
      <c r="C34" s="27"/>
      <c r="D34" s="27"/>
      <c r="E34" s="27"/>
      <c r="F34" s="77">
        <f>(F33-F19)/F17</f>
        <v>0.45027484444444443</v>
      </c>
      <c r="G34" s="78">
        <f>(G33-G19)/G17</f>
        <v>0.43854444444444446</v>
      </c>
      <c r="H34" s="78">
        <f t="shared" ref="H34:AI34" si="15">(H33-H19)/H17</f>
        <v>0.43854444444444446</v>
      </c>
      <c r="I34" s="78">
        <f t="shared" si="15"/>
        <v>0.43854444444444446</v>
      </c>
      <c r="J34" s="79">
        <f t="shared" si="15"/>
        <v>0.43854444444444451</v>
      </c>
      <c r="K34" s="78">
        <f t="shared" si="15"/>
        <v>0.43854444444444446</v>
      </c>
      <c r="L34" s="78">
        <f t="shared" si="15"/>
        <v>0.4385444444444444</v>
      </c>
      <c r="M34" s="78">
        <f t="shared" si="15"/>
        <v>0.4385444444444444</v>
      </c>
      <c r="N34" s="78">
        <f t="shared" si="15"/>
        <v>0.4385444444444444</v>
      </c>
      <c r="O34" s="78">
        <f t="shared" si="15"/>
        <v>0.43854444444444446</v>
      </c>
      <c r="P34" s="78">
        <f t="shared" si="15"/>
        <v>0.43854444444444435</v>
      </c>
      <c r="Q34" s="78">
        <f t="shared" si="15"/>
        <v>0.43854444444444446</v>
      </c>
      <c r="R34" s="78">
        <f t="shared" si="15"/>
        <v>0.43854444444444446</v>
      </c>
      <c r="S34" s="78">
        <f t="shared" si="15"/>
        <v>0.4385444444444444</v>
      </c>
      <c r="T34" s="79">
        <f t="shared" si="15"/>
        <v>0.4385444444444444</v>
      </c>
      <c r="U34" s="78">
        <f t="shared" si="15"/>
        <v>0.43854444444444446</v>
      </c>
      <c r="V34" s="78">
        <f t="shared" si="15"/>
        <v>0.43854444444444446</v>
      </c>
      <c r="W34" s="78">
        <f t="shared" si="15"/>
        <v>0.43854444444444446</v>
      </c>
      <c r="X34" s="78">
        <f t="shared" si="15"/>
        <v>0.43854444444444446</v>
      </c>
      <c r="Y34" s="78">
        <f t="shared" si="15"/>
        <v>0.4385444444444444</v>
      </c>
      <c r="Z34" s="78">
        <f t="shared" si="15"/>
        <v>0.43854444444444435</v>
      </c>
      <c r="AA34" s="78">
        <f t="shared" si="15"/>
        <v>0.4385444444444444</v>
      </c>
      <c r="AB34" s="78">
        <f t="shared" si="15"/>
        <v>0.4385444444444444</v>
      </c>
      <c r="AC34" s="78">
        <f t="shared" si="15"/>
        <v>0.43854444444444446</v>
      </c>
      <c r="AD34" s="78">
        <f t="shared" si="15"/>
        <v>0.4385444444444444</v>
      </c>
      <c r="AE34" s="78">
        <f t="shared" si="15"/>
        <v>0.4385444444444444</v>
      </c>
      <c r="AF34" s="78">
        <f t="shared" si="15"/>
        <v>0.43854444444444451</v>
      </c>
      <c r="AG34" s="78">
        <f t="shared" si="15"/>
        <v>0.4385444444444444</v>
      </c>
      <c r="AH34" s="78">
        <f t="shared" si="15"/>
        <v>0.4385444444444444</v>
      </c>
      <c r="AI34" s="78">
        <f t="shared" si="15"/>
        <v>0.43854444444444446</v>
      </c>
    </row>
    <row r="35" spans="2:35" x14ac:dyDescent="0.25">
      <c r="B35" s="27"/>
      <c r="C35" s="27"/>
      <c r="D35" s="27"/>
      <c r="E35" s="27"/>
      <c r="F35" s="63"/>
      <c r="G35" s="27"/>
      <c r="H35" s="27"/>
      <c r="I35" s="27"/>
      <c r="J35" s="64"/>
      <c r="K35" s="27"/>
      <c r="L35" s="27"/>
      <c r="O35" s="65"/>
      <c r="P35" s="65"/>
      <c r="Q35" s="65"/>
      <c r="R35" s="65"/>
      <c r="S35" s="65"/>
      <c r="T35" s="80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2:35" x14ac:dyDescent="0.25">
      <c r="B36" s="81" t="s">
        <v>76</v>
      </c>
      <c r="C36" s="82"/>
      <c r="D36" s="83"/>
      <c r="E36" s="83"/>
      <c r="F36" s="84">
        <f t="shared" ref="F36:AI36" si="16">F20-F33</f>
        <v>7916.0422400000007</v>
      </c>
      <c r="G36" s="85">
        <f t="shared" si="16"/>
        <v>8246.6592000000001</v>
      </c>
      <c r="H36" s="85">
        <f t="shared" si="16"/>
        <v>8411.5923839999996</v>
      </c>
      <c r="I36" s="85">
        <f t="shared" si="16"/>
        <v>8579.8242316799988</v>
      </c>
      <c r="J36" s="86">
        <f t="shared" si="16"/>
        <v>8751.4207163135998</v>
      </c>
      <c r="K36" s="85">
        <f t="shared" si="16"/>
        <v>8926.4491306398722</v>
      </c>
      <c r="L36" s="85">
        <f t="shared" si="16"/>
        <v>9104.9781132526714</v>
      </c>
      <c r="M36" s="85">
        <f t="shared" si="16"/>
        <v>9287.0776755177249</v>
      </c>
      <c r="N36" s="85">
        <f t="shared" si="16"/>
        <v>9472.8192290280822</v>
      </c>
      <c r="O36" s="85">
        <f t="shared" si="16"/>
        <v>9662.2756136086409</v>
      </c>
      <c r="P36" s="85">
        <f t="shared" si="16"/>
        <v>9855.521125880814</v>
      </c>
      <c r="Q36" s="85">
        <f t="shared" si="16"/>
        <v>10052.631548398431</v>
      </c>
      <c r="R36" s="85">
        <f t="shared" si="16"/>
        <v>10253.684179366397</v>
      </c>
      <c r="S36" s="85">
        <f t="shared" si="16"/>
        <v>10458.757862953726</v>
      </c>
      <c r="T36" s="86">
        <f t="shared" si="16"/>
        <v>10667.9330202128</v>
      </c>
      <c r="U36" s="85">
        <f t="shared" si="16"/>
        <v>10881.291680617054</v>
      </c>
      <c r="V36" s="85">
        <f t="shared" si="16"/>
        <v>11098.917514229399</v>
      </c>
      <c r="W36" s="85">
        <f t="shared" si="16"/>
        <v>11320.895864513986</v>
      </c>
      <c r="X36" s="85">
        <f t="shared" si="16"/>
        <v>11547.313781804265</v>
      </c>
      <c r="Y36" s="85">
        <f t="shared" si="16"/>
        <v>11778.260057440353</v>
      </c>
      <c r="Z36" s="85">
        <f t="shared" si="16"/>
        <v>12013.825258589159</v>
      </c>
      <c r="AA36" s="85">
        <f t="shared" si="16"/>
        <v>12254.10176376094</v>
      </c>
      <c r="AB36" s="85">
        <f t="shared" si="16"/>
        <v>12499.18379903616</v>
      </c>
      <c r="AC36" s="85">
        <f t="shared" si="16"/>
        <v>12749.167475016882</v>
      </c>
      <c r="AD36" s="85">
        <f t="shared" si="16"/>
        <v>13004.150824517219</v>
      </c>
      <c r="AE36" s="85">
        <f t="shared" si="16"/>
        <v>13264.233841007563</v>
      </c>
      <c r="AF36" s="85">
        <f t="shared" si="16"/>
        <v>13529.518517827713</v>
      </c>
      <c r="AG36" s="85">
        <f t="shared" si="16"/>
        <v>13800.10888818427</v>
      </c>
      <c r="AH36" s="85">
        <f t="shared" si="16"/>
        <v>14076.111065947953</v>
      </c>
      <c r="AI36" s="85">
        <f t="shared" si="16"/>
        <v>14357.633287266914</v>
      </c>
    </row>
    <row r="37" spans="2:35" x14ac:dyDescent="0.25">
      <c r="F37" s="87"/>
      <c r="J37" s="66"/>
      <c r="T37" s="88"/>
    </row>
    <row r="38" spans="2:35" x14ac:dyDescent="0.25">
      <c r="B38" s="141" t="s">
        <v>77</v>
      </c>
      <c r="C38" s="142"/>
      <c r="D38" s="89"/>
      <c r="E38" s="89"/>
      <c r="F38" s="41"/>
      <c r="G38" s="89"/>
      <c r="H38" s="89"/>
      <c r="I38" s="89"/>
      <c r="J38" s="90"/>
      <c r="K38" s="89"/>
      <c r="L38" s="89"/>
      <c r="M38" s="91"/>
      <c r="N38" s="91"/>
      <c r="O38" s="91"/>
      <c r="P38" s="91"/>
      <c r="Q38" s="91"/>
      <c r="R38" s="91"/>
      <c r="S38" s="91"/>
      <c r="T38" s="92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3"/>
    </row>
    <row r="39" spans="2:35" x14ac:dyDescent="0.25">
      <c r="B39" s="132" t="s">
        <v>78</v>
      </c>
      <c r="C39" s="133"/>
      <c r="D39" s="3"/>
      <c r="E39" s="47">
        <f>F39/12</f>
        <v>659.67018666666672</v>
      </c>
      <c r="F39" s="48">
        <f>F36</f>
        <v>7916.0422400000007</v>
      </c>
      <c r="G39" s="47">
        <f t="shared" ref="G39:O39" si="17">G36</f>
        <v>8246.6592000000001</v>
      </c>
      <c r="H39" s="47">
        <f t="shared" si="17"/>
        <v>8411.5923839999996</v>
      </c>
      <c r="I39" s="47">
        <f t="shared" si="17"/>
        <v>8579.8242316799988</v>
      </c>
      <c r="J39" s="49">
        <f t="shared" si="17"/>
        <v>8751.4207163135998</v>
      </c>
      <c r="K39" s="47">
        <f t="shared" si="17"/>
        <v>8926.4491306398722</v>
      </c>
      <c r="L39" s="47">
        <f t="shared" si="17"/>
        <v>9104.9781132526714</v>
      </c>
      <c r="M39" s="47">
        <f t="shared" si="17"/>
        <v>9287.0776755177249</v>
      </c>
      <c r="N39" s="47">
        <f t="shared" si="17"/>
        <v>9472.8192290280822</v>
      </c>
      <c r="O39" s="47">
        <f t="shared" si="17"/>
        <v>9662.2756136086409</v>
      </c>
      <c r="P39" s="47">
        <f>P36</f>
        <v>9855.521125880814</v>
      </c>
      <c r="Q39" s="47">
        <f>Q36</f>
        <v>10052.631548398431</v>
      </c>
      <c r="R39" s="47">
        <f>R36</f>
        <v>10253.684179366397</v>
      </c>
      <c r="S39" s="47">
        <f>S36</f>
        <v>10458.757862953726</v>
      </c>
      <c r="T39" s="49">
        <f>T36</f>
        <v>10667.9330202128</v>
      </c>
      <c r="U39" s="47">
        <f t="shared" ref="U39:AD39" si="18">U36</f>
        <v>10881.291680617054</v>
      </c>
      <c r="V39" s="47">
        <f t="shared" si="18"/>
        <v>11098.917514229399</v>
      </c>
      <c r="W39" s="47">
        <f t="shared" si="18"/>
        <v>11320.895864513986</v>
      </c>
      <c r="X39" s="47">
        <f t="shared" si="18"/>
        <v>11547.313781804265</v>
      </c>
      <c r="Y39" s="47">
        <f t="shared" si="18"/>
        <v>11778.260057440353</v>
      </c>
      <c r="Z39" s="47">
        <f t="shared" si="18"/>
        <v>12013.825258589159</v>
      </c>
      <c r="AA39" s="47">
        <f t="shared" si="18"/>
        <v>12254.10176376094</v>
      </c>
      <c r="AB39" s="47">
        <f t="shared" si="18"/>
        <v>12499.18379903616</v>
      </c>
      <c r="AC39" s="47">
        <f t="shared" si="18"/>
        <v>12749.167475016882</v>
      </c>
      <c r="AD39" s="47">
        <f t="shared" si="18"/>
        <v>13004.150824517219</v>
      </c>
      <c r="AE39" s="47">
        <f>AE36</f>
        <v>13264.233841007563</v>
      </c>
      <c r="AF39" s="47">
        <f>AF36</f>
        <v>13529.518517827713</v>
      </c>
      <c r="AG39" s="47">
        <f>AG36</f>
        <v>13800.10888818427</v>
      </c>
      <c r="AH39" s="47">
        <f>AH36</f>
        <v>14076.111065947953</v>
      </c>
      <c r="AI39" s="50">
        <f>AI36</f>
        <v>14357.633287266914</v>
      </c>
    </row>
    <row r="40" spans="2:35" x14ac:dyDescent="0.25">
      <c r="B40" s="134" t="s">
        <v>79</v>
      </c>
      <c r="C40" s="135"/>
      <c r="D40" s="65"/>
      <c r="E40" s="47">
        <f>H8</f>
        <v>343.56583872776901</v>
      </c>
      <c r="F40" s="48">
        <f>E40*12</f>
        <v>4122.7900647332281</v>
      </c>
      <c r="G40" s="47">
        <f t="shared" ref="G40:AD40" si="19">F40</f>
        <v>4122.7900647332281</v>
      </c>
      <c r="H40" s="47">
        <f t="shared" si="19"/>
        <v>4122.7900647332281</v>
      </c>
      <c r="I40" s="47">
        <f t="shared" si="19"/>
        <v>4122.7900647332281</v>
      </c>
      <c r="J40" s="49">
        <f t="shared" si="19"/>
        <v>4122.7900647332281</v>
      </c>
      <c r="K40" s="47">
        <f t="shared" si="19"/>
        <v>4122.7900647332281</v>
      </c>
      <c r="L40" s="47">
        <f t="shared" si="19"/>
        <v>4122.7900647332281</v>
      </c>
      <c r="M40" s="47">
        <f t="shared" si="19"/>
        <v>4122.7900647332281</v>
      </c>
      <c r="N40" s="47">
        <f t="shared" si="19"/>
        <v>4122.7900647332281</v>
      </c>
      <c r="O40" s="47">
        <f t="shared" si="19"/>
        <v>4122.7900647332281</v>
      </c>
      <c r="P40" s="47">
        <f t="shared" si="19"/>
        <v>4122.7900647332281</v>
      </c>
      <c r="Q40" s="47">
        <f t="shared" si="19"/>
        <v>4122.7900647332281</v>
      </c>
      <c r="R40" s="47">
        <f t="shared" si="19"/>
        <v>4122.7900647332281</v>
      </c>
      <c r="S40" s="47">
        <f t="shared" si="19"/>
        <v>4122.7900647332281</v>
      </c>
      <c r="T40" s="49">
        <f t="shared" si="19"/>
        <v>4122.7900647332281</v>
      </c>
      <c r="U40" s="47">
        <f t="shared" si="19"/>
        <v>4122.7900647332281</v>
      </c>
      <c r="V40" s="47">
        <f t="shared" si="19"/>
        <v>4122.7900647332281</v>
      </c>
      <c r="W40" s="47">
        <f t="shared" si="19"/>
        <v>4122.7900647332281</v>
      </c>
      <c r="X40" s="47">
        <f t="shared" si="19"/>
        <v>4122.7900647332281</v>
      </c>
      <c r="Y40" s="47">
        <f t="shared" si="19"/>
        <v>4122.7900647332281</v>
      </c>
      <c r="Z40" s="47">
        <f t="shared" si="19"/>
        <v>4122.7900647332281</v>
      </c>
      <c r="AA40" s="47">
        <f t="shared" si="19"/>
        <v>4122.7900647332281</v>
      </c>
      <c r="AB40" s="47">
        <f t="shared" si="19"/>
        <v>4122.7900647332281</v>
      </c>
      <c r="AC40" s="47">
        <f t="shared" si="19"/>
        <v>4122.7900647332281</v>
      </c>
      <c r="AD40" s="47">
        <f t="shared" si="19"/>
        <v>4122.7900647332281</v>
      </c>
      <c r="AE40" s="47">
        <f>AD40</f>
        <v>4122.7900647332281</v>
      </c>
      <c r="AF40" s="47">
        <f>AE40</f>
        <v>4122.7900647332281</v>
      </c>
      <c r="AG40" s="47">
        <f>AF40</f>
        <v>4122.7900647332281</v>
      </c>
      <c r="AH40" s="47">
        <f>AG40</f>
        <v>4122.7900647332281</v>
      </c>
      <c r="AI40" s="50">
        <f>AH40</f>
        <v>4122.7900647332281</v>
      </c>
    </row>
    <row r="41" spans="2:35" x14ac:dyDescent="0.25">
      <c r="B41" s="136" t="s">
        <v>80</v>
      </c>
      <c r="C41" s="137"/>
      <c r="D41" s="94"/>
      <c r="E41" s="95">
        <f>E39-E40</f>
        <v>316.10434793889772</v>
      </c>
      <c r="F41" s="96">
        <f t="shared" ref="F41:O41" si="20">F39-F40</f>
        <v>3793.2521752667726</v>
      </c>
      <c r="G41" s="95">
        <f t="shared" si="20"/>
        <v>4123.869135266772</v>
      </c>
      <c r="H41" s="95">
        <f t="shared" si="20"/>
        <v>4288.8023192667715</v>
      </c>
      <c r="I41" s="95">
        <f t="shared" si="20"/>
        <v>4457.0341669467707</v>
      </c>
      <c r="J41" s="97">
        <f t="shared" si="20"/>
        <v>4628.6306515803717</v>
      </c>
      <c r="K41" s="95">
        <f t="shared" si="20"/>
        <v>4803.6590659066442</v>
      </c>
      <c r="L41" s="95">
        <f t="shared" si="20"/>
        <v>4982.1880485194433</v>
      </c>
      <c r="M41" s="95">
        <f t="shared" si="20"/>
        <v>5164.2876107844968</v>
      </c>
      <c r="N41" s="95">
        <f t="shared" si="20"/>
        <v>5350.0291642948541</v>
      </c>
      <c r="O41" s="95">
        <f t="shared" si="20"/>
        <v>5539.4855488754129</v>
      </c>
      <c r="P41" s="95">
        <f>P39-P40</f>
        <v>5732.7310611475859</v>
      </c>
      <c r="Q41" s="95">
        <f>Q39-Q40</f>
        <v>5929.8414836652028</v>
      </c>
      <c r="R41" s="95">
        <f>R39-R40</f>
        <v>6130.894114633169</v>
      </c>
      <c r="S41" s="95">
        <f>S39-S40</f>
        <v>6335.9677982204976</v>
      </c>
      <c r="T41" s="97">
        <f>T39-T40</f>
        <v>6545.1429554795723</v>
      </c>
      <c r="U41" s="95">
        <f t="shared" ref="U41:AD41" si="21">U39-U40</f>
        <v>6758.5016158838262</v>
      </c>
      <c r="V41" s="95">
        <f t="shared" si="21"/>
        <v>6976.1274494961708</v>
      </c>
      <c r="W41" s="95">
        <f t="shared" si="21"/>
        <v>7198.1057997807584</v>
      </c>
      <c r="X41" s="95">
        <f t="shared" si="21"/>
        <v>7424.523717071037</v>
      </c>
      <c r="Y41" s="95">
        <f t="shared" si="21"/>
        <v>7655.4699927071251</v>
      </c>
      <c r="Z41" s="95">
        <f t="shared" si="21"/>
        <v>7891.0351938559306</v>
      </c>
      <c r="AA41" s="95">
        <f t="shared" si="21"/>
        <v>8131.3116990277122</v>
      </c>
      <c r="AB41" s="95">
        <f t="shared" si="21"/>
        <v>8376.393734302932</v>
      </c>
      <c r="AC41" s="95">
        <f t="shared" si="21"/>
        <v>8626.3774102836542</v>
      </c>
      <c r="AD41" s="95">
        <f t="shared" si="21"/>
        <v>8881.3607597839909</v>
      </c>
      <c r="AE41" s="95">
        <f>AE39-AE40</f>
        <v>9141.4437762743346</v>
      </c>
      <c r="AF41" s="95">
        <f>AF39-AF40</f>
        <v>9406.7284530944853</v>
      </c>
      <c r="AG41" s="95">
        <f>AG39-AG40</f>
        <v>9677.3188234510417</v>
      </c>
      <c r="AH41" s="95">
        <f>AH39-AH40</f>
        <v>9953.3210012147247</v>
      </c>
      <c r="AI41" s="98">
        <f>AI39-AI40</f>
        <v>10234.843222533686</v>
      </c>
    </row>
    <row r="42" spans="2:35" x14ac:dyDescent="0.25">
      <c r="B42" s="99" t="s">
        <v>20</v>
      </c>
      <c r="C42" s="100"/>
      <c r="D42" s="94"/>
      <c r="E42" s="95"/>
      <c r="F42" s="101">
        <f>F41/H9</f>
        <v>0.1354732919738133</v>
      </c>
      <c r="G42" s="102">
        <f>G41/H9</f>
        <v>0.14728104054524185</v>
      </c>
      <c r="H42" s="102">
        <f>H41/H9</f>
        <v>0.15317151140238469</v>
      </c>
      <c r="I42" s="102">
        <f>I41/H9</f>
        <v>0.15917979167667037</v>
      </c>
      <c r="J42" s="103">
        <f>J41/H9</f>
        <v>0.16530823755644183</v>
      </c>
      <c r="K42" s="102">
        <f>K41/H9</f>
        <v>0.17155925235380873</v>
      </c>
      <c r="L42" s="102">
        <f>L41/H9</f>
        <v>0.17793528744712298</v>
      </c>
      <c r="M42" s="102">
        <f>M41/H9</f>
        <v>0.18443884324230345</v>
      </c>
      <c r="N42" s="102">
        <f>N41/H9</f>
        <v>0.19107247015338766</v>
      </c>
      <c r="O42" s="102">
        <f>O41/H9</f>
        <v>0.19783876960269331</v>
      </c>
      <c r="P42" s="102">
        <f>P41/H9</f>
        <v>0.20474039504098521</v>
      </c>
      <c r="Q42" s="102">
        <f>Q41/H9</f>
        <v>0.21178005298804295</v>
      </c>
      <c r="R42" s="102">
        <f>R41/H9</f>
        <v>0.21896050409404175</v>
      </c>
      <c r="S42" s="102">
        <f>S41/H9</f>
        <v>0.22628456422216062</v>
      </c>
      <c r="T42" s="103">
        <f>T41/H9</f>
        <v>0.23375510555284187</v>
      </c>
      <c r="U42" s="102">
        <f>U41/H9</f>
        <v>0.24137505771013665</v>
      </c>
      <c r="V42" s="102">
        <f>V41/H9</f>
        <v>0.24914740891057752</v>
      </c>
      <c r="W42" s="102">
        <f>W41/H9</f>
        <v>0.25707520713502707</v>
      </c>
      <c r="X42" s="102">
        <f>X41/H9</f>
        <v>0.26516156132396562</v>
      </c>
      <c r="Y42" s="102">
        <f>Y41/H9</f>
        <v>0.27340964259668304</v>
      </c>
      <c r="Z42" s="102">
        <f>Z41/H9</f>
        <v>0.28182268549485467</v>
      </c>
      <c r="AA42" s="102">
        <f>AA41/H9</f>
        <v>0.2904039892509897</v>
      </c>
      <c r="AB42" s="102">
        <f>AB41/H9</f>
        <v>0.29915691908224756</v>
      </c>
      <c r="AC42" s="102">
        <f>AC41/H9</f>
        <v>0.30808490751013051</v>
      </c>
      <c r="AD42" s="102">
        <f>AD41/H9</f>
        <v>0.31719145570657109</v>
      </c>
      <c r="AE42" s="102">
        <f>AE41/H9</f>
        <v>0.3264801348669405</v>
      </c>
      <c r="AF42" s="102">
        <f>AF41/H9</f>
        <v>0.33595458761051733</v>
      </c>
      <c r="AG42" s="102">
        <f>AG41/H9</f>
        <v>0.34561852940896576</v>
      </c>
      <c r="AH42" s="102">
        <f>AH41/H9</f>
        <v>0.355475750043383</v>
      </c>
      <c r="AI42" s="104">
        <f>AI41/H9</f>
        <v>0.36553011509048877</v>
      </c>
    </row>
    <row r="43" spans="2:35" x14ac:dyDescent="0.25">
      <c r="B43" s="138" t="s">
        <v>81</v>
      </c>
      <c r="C43" s="139"/>
      <c r="D43" s="105"/>
      <c r="E43" s="106"/>
      <c r="F43" s="107">
        <f>-CUMPRINC(H6/12,12*H7, H4, 1, 12, 0)</f>
        <v>944.23382116318714</v>
      </c>
      <c r="G43" s="108">
        <f>-CUMPRINC(H6/12,12*H7, H4, 13, 24, 0)</f>
        <v>992.54261549801674</v>
      </c>
      <c r="H43" s="108">
        <f>-CUMPRINC(H6/12,12*H7, H4, 25, 36, 0)</f>
        <v>1043.3229794353945</v>
      </c>
      <c r="I43" s="108">
        <f>-CUMPRINC(H6/12,12*H7, H4, 37, 48, 0)</f>
        <v>1096.7013631669338</v>
      </c>
      <c r="J43" s="109">
        <f>-CUMPRINC(H6/12,12*H7, H4, 49, 60, 0)</f>
        <v>1152.8106863160383</v>
      </c>
      <c r="K43" s="108">
        <f>-CUMPRINC(H6/12,12*H7, H4, 61, 72, 0)</f>
        <v>1211.7906689263098</v>
      </c>
      <c r="L43" s="108">
        <f>-CUMPRINC(H6/12,12*H7, H4, 73, 84, 0)</f>
        <v>1273.7881793839551</v>
      </c>
      <c r="M43" s="108">
        <f>-CUMPRINC(H6/12,12*H7, H4, 85, 96, 0)</f>
        <v>1338.9576001405558</v>
      </c>
      <c r="N43" s="108">
        <f>-CUMPRINC(H6/12,12*H7, H4, 97, 108, 0)</f>
        <v>1407.4612121469174</v>
      </c>
      <c r="O43" s="108">
        <f>-CUMPRINC(H6/12,12*H7, H4, 109, 120, 0)</f>
        <v>1479.4695989552786</v>
      </c>
      <c r="P43" s="108">
        <f>-CUMPRINC(H6/12,12*H7, H4, 121, 132, 0)</f>
        <v>1555.1620714961573</v>
      </c>
      <c r="Q43" s="108">
        <f>-CUMPRINC(H6/12,12*H7, H4, 133, 144, 0)</f>
        <v>1634.7271145875882</v>
      </c>
      <c r="R43" s="108">
        <f>-CUMPRINC(H6/12,12*H7, H4, 145, 156, 0)</f>
        <v>1718.3628562886186</v>
      </c>
      <c r="S43" s="108">
        <f>-CUMPRINC(H6/12,12*H7, H4, 157, 168, 0)</f>
        <v>1806.2775612658204</v>
      </c>
      <c r="T43" s="109">
        <f>-CUMPRINC(H6/12,12*H7, H4, 169, 180, 0)</f>
        <v>1898.6901494013684</v>
      </c>
      <c r="U43" s="108">
        <f>-CUMPRINC(H6/12,12*H7, H4, 181, 192, 0)</f>
        <v>1995.8307409340937</v>
      </c>
      <c r="V43" s="108">
        <f>-CUMPRINC(H6/12,12*H7, H4, 193, 204, 0)</f>
        <v>2097.9412294909876</v>
      </c>
      <c r="W43" s="108">
        <f>-CUMPRINC(H6/12,12*H7, H4, 205, 216, 0)</f>
        <v>2205.2758844360833</v>
      </c>
      <c r="X43" s="108">
        <f>-CUMPRINC(H6/12,12*H7, H4, 217, 228, 0)</f>
        <v>2318.1019840366512</v>
      </c>
      <c r="Y43" s="108">
        <f>-CUMPRINC(H6/12,12*H7, H4, 229, 240, 0)</f>
        <v>2436.7004810233771</v>
      </c>
      <c r="Z43" s="108">
        <f>-CUMPRINC(H6/12,12*H7, H4, 241, 252, 0)</f>
        <v>2561.3667022018658</v>
      </c>
      <c r="AA43" s="108">
        <f>-CUMPRINC(H6/12,12*H7, H4, 253, 264, 0)</f>
        <v>2692.4110838575889</v>
      </c>
      <c r="AB43" s="108">
        <f>-CUMPRINC(H6/12,12*H7, H4, 265, 276, 0)</f>
        <v>2830.1599447855574</v>
      </c>
      <c r="AC43" s="108">
        <f>-CUMPRINC(H6/12,12*H7, H4, 277, 288, 0)</f>
        <v>2974.956298869648</v>
      </c>
      <c r="AD43" s="108">
        <f>-CUMPRINC(H6/12,12*H7, H4, 289, 300, 0)</f>
        <v>3127.1607092350355</v>
      </c>
      <c r="AE43" s="108">
        <f>-CUMPRINC(H6/12,12*H7, H4, 301, 312, 0)</f>
        <v>3287.1521861006872</v>
      </c>
      <c r="AF43" s="108">
        <f>-CUMPRINC(H6/12,12*H7, H4, 313, 324, 0)</f>
        <v>3455.3291305676862</v>
      </c>
      <c r="AG43" s="108">
        <f>-CUMPRINC(H6/12,12*H7, H4, 325, 336, 0)</f>
        <v>3632.1103266935679</v>
      </c>
      <c r="AH43" s="108">
        <f>-CUMPRINC(H6/12,12*H7, H4, 337, 348, 0)</f>
        <v>3817.9359843230536</v>
      </c>
      <c r="AI43" s="110">
        <f>-CUMPRINC(H6/12,12*H7, H4, 349, 360, 0)</f>
        <v>4013.2688352719833</v>
      </c>
    </row>
    <row r="44" spans="2:35" x14ac:dyDescent="0.25">
      <c r="B44" s="136" t="s">
        <v>82</v>
      </c>
      <c r="C44" s="137"/>
      <c r="D44" s="94"/>
      <c r="E44" s="95"/>
      <c r="F44" s="96">
        <f>F41+F43</f>
        <v>4737.4859964299594</v>
      </c>
      <c r="G44" s="95">
        <f>G41+G43</f>
        <v>5116.4117507647888</v>
      </c>
      <c r="H44" s="95">
        <f t="shared" ref="H44:AI44" si="22">H41+H43</f>
        <v>5332.1252987021662</v>
      </c>
      <c r="I44" s="95">
        <f t="shared" si="22"/>
        <v>5553.735530113705</v>
      </c>
      <c r="J44" s="97">
        <f t="shared" si="22"/>
        <v>5781.44133789641</v>
      </c>
      <c r="K44" s="95">
        <f t="shared" si="22"/>
        <v>6015.4497348329542</v>
      </c>
      <c r="L44" s="95">
        <f t="shared" si="22"/>
        <v>6255.9762279033985</v>
      </c>
      <c r="M44" s="95">
        <f t="shared" si="22"/>
        <v>6503.2452109250526</v>
      </c>
      <c r="N44" s="95">
        <f t="shared" si="22"/>
        <v>6757.4903764417713</v>
      </c>
      <c r="O44" s="95">
        <f t="shared" si="22"/>
        <v>7018.9551478306912</v>
      </c>
      <c r="P44" s="95">
        <f t="shared" si="22"/>
        <v>7287.8931326437432</v>
      </c>
      <c r="Q44" s="95">
        <f t="shared" si="22"/>
        <v>7564.5685982527912</v>
      </c>
      <c r="R44" s="95">
        <f t="shared" si="22"/>
        <v>7849.2569709217878</v>
      </c>
      <c r="S44" s="95">
        <f t="shared" si="22"/>
        <v>8142.2453594863182</v>
      </c>
      <c r="T44" s="97">
        <f t="shared" si="22"/>
        <v>8443.8331048809414</v>
      </c>
      <c r="U44" s="95">
        <f t="shared" si="22"/>
        <v>8754.3323568179203</v>
      </c>
      <c r="V44" s="95">
        <f t="shared" si="22"/>
        <v>9074.0686789871579</v>
      </c>
      <c r="W44" s="95">
        <f t="shared" si="22"/>
        <v>9403.3816842168417</v>
      </c>
      <c r="X44" s="95">
        <f t="shared" si="22"/>
        <v>9742.6257011076887</v>
      </c>
      <c r="Y44" s="95">
        <f t="shared" si="22"/>
        <v>10092.170473730503</v>
      </c>
      <c r="Z44" s="95">
        <f t="shared" si="22"/>
        <v>10452.401896057796</v>
      </c>
      <c r="AA44" s="95">
        <f t="shared" si="22"/>
        <v>10823.722782885301</v>
      </c>
      <c r="AB44" s="95">
        <f t="shared" si="22"/>
        <v>11206.553679088489</v>
      </c>
      <c r="AC44" s="95">
        <f t="shared" si="22"/>
        <v>11601.333709153303</v>
      </c>
      <c r="AD44" s="95">
        <f t="shared" si="22"/>
        <v>12008.521469019026</v>
      </c>
      <c r="AE44" s="95">
        <f t="shared" si="22"/>
        <v>12428.595962375022</v>
      </c>
      <c r="AF44" s="95">
        <f t="shared" si="22"/>
        <v>12862.057583662172</v>
      </c>
      <c r="AG44" s="95">
        <f t="shared" si="22"/>
        <v>13309.42915014461</v>
      </c>
      <c r="AH44" s="95">
        <f t="shared" si="22"/>
        <v>13771.256985537779</v>
      </c>
      <c r="AI44" s="98">
        <f t="shared" si="22"/>
        <v>14248.112057805669</v>
      </c>
    </row>
    <row r="45" spans="2:35" x14ac:dyDescent="0.25">
      <c r="B45" s="111" t="s">
        <v>22</v>
      </c>
      <c r="C45" s="112"/>
      <c r="D45" s="113"/>
      <c r="E45" s="60"/>
      <c r="F45" s="114">
        <f>F44/H9</f>
        <v>0.16919592844392711</v>
      </c>
      <c r="G45" s="115">
        <f>G44/H9</f>
        <v>0.18272899109874247</v>
      </c>
      <c r="H45" s="115">
        <f>H44/H9</f>
        <v>0.19043304638222022</v>
      </c>
      <c r="I45" s="115">
        <f>I44/H9</f>
        <v>0.19834769750406089</v>
      </c>
      <c r="J45" s="116">
        <f>J44/H9</f>
        <v>0.20648004778201465</v>
      </c>
      <c r="K45" s="115">
        <f>K44/H9</f>
        <v>0.21483749052974838</v>
      </c>
      <c r="L45" s="115">
        <f>L44/H9</f>
        <v>0.22342772242512138</v>
      </c>
      <c r="M45" s="115">
        <f>M44/H9</f>
        <v>0.2322587575330376</v>
      </c>
      <c r="N45" s="115">
        <f>N44/H9</f>
        <v>0.24133894201577755</v>
      </c>
      <c r="O45" s="115">
        <f>O44/H9</f>
        <v>0.25067696956538182</v>
      </c>
      <c r="P45" s="115">
        <f>P44/H9</f>
        <v>0.26028189759441939</v>
      </c>
      <c r="Q45" s="115">
        <f>Q44/H9</f>
        <v>0.27016316422331399</v>
      </c>
      <c r="R45" s="115">
        <f>R44/H9</f>
        <v>0.28033060610434957</v>
      </c>
      <c r="S45" s="115">
        <f>S44/H9</f>
        <v>0.29079447712451134</v>
      </c>
      <c r="T45" s="116">
        <f>T44/H9</f>
        <v>0.30156546803146217</v>
      </c>
      <c r="U45" s="115">
        <f>U44/H9</f>
        <v>0.31265472702921143</v>
      </c>
      <c r="V45" s="115">
        <f>V44/H9</f>
        <v>0.32407388139239851</v>
      </c>
      <c r="W45" s="115">
        <f>W44/H9</f>
        <v>0.33583506015060149</v>
      </c>
      <c r="X45" s="115">
        <f>X44/H9</f>
        <v>0.34795091789670318</v>
      </c>
      <c r="Y45" s="115">
        <f>Y44/H9</f>
        <v>0.36043465977608941</v>
      </c>
      <c r="Z45" s="115">
        <f>Z44/H9</f>
        <v>0.37330006771634988</v>
      </c>
      <c r="AA45" s="115">
        <f>AA44/H9</f>
        <v>0.38656152796018933</v>
      </c>
      <c r="AB45" s="115">
        <f>AB44/H9</f>
        <v>0.40023405996744604</v>
      </c>
      <c r="AC45" s="115">
        <f>AC44/H9</f>
        <v>0.41433334675547512</v>
      </c>
      <c r="AD45" s="115">
        <f>AD44/H9</f>
        <v>0.42887576675067951</v>
      </c>
      <c r="AE45" s="115">
        <f>AE44/H9</f>
        <v>0.44387842722767934</v>
      </c>
      <c r="AF45" s="115">
        <f>AF44/H9</f>
        <v>0.45935919941650616</v>
      </c>
      <c r="AG45" s="115">
        <f>AG44/H9</f>
        <v>0.47533675536230746</v>
      </c>
      <c r="AH45" s="115">
        <f>AH44/H9</f>
        <v>0.49183060662634925</v>
      </c>
      <c r="AI45" s="117">
        <f>AI44/H9</f>
        <v>0.50886114492163104</v>
      </c>
    </row>
    <row r="46" spans="2:35" x14ac:dyDescent="0.25">
      <c r="E46" s="118"/>
      <c r="F46" s="119"/>
      <c r="G46" s="118"/>
      <c r="H46" s="118"/>
      <c r="I46" s="118"/>
      <c r="J46" s="120"/>
      <c r="K46" s="118"/>
      <c r="L46" s="118"/>
      <c r="M46" s="118"/>
      <c r="N46" s="118"/>
      <c r="O46" s="118"/>
      <c r="U46" s="121"/>
    </row>
    <row r="47" spans="2:35" x14ac:dyDescent="0.25">
      <c r="B47" s="122" t="s">
        <v>83</v>
      </c>
      <c r="C47" s="123"/>
      <c r="D47" s="124"/>
      <c r="E47" s="124"/>
      <c r="F47" s="125">
        <f>F39/F40</f>
        <v>1.9200692045211429</v>
      </c>
      <c r="G47" s="126">
        <f t="shared" ref="G47:AE47" si="23">G39/G40</f>
        <v>2.0002617330779886</v>
      </c>
      <c r="H47" s="126">
        <f t="shared" si="23"/>
        <v>2.0402669677395484</v>
      </c>
      <c r="I47" s="126">
        <f t="shared" si="23"/>
        <v>2.0810723070943391</v>
      </c>
      <c r="J47" s="127">
        <f t="shared" si="23"/>
        <v>2.1226937532362262</v>
      </c>
      <c r="K47" s="126">
        <f t="shared" si="23"/>
        <v>2.165147628300951</v>
      </c>
      <c r="L47" s="126">
        <f t="shared" si="23"/>
        <v>2.2084505808669701</v>
      </c>
      <c r="M47" s="126">
        <f t="shared" si="23"/>
        <v>2.2526195924843098</v>
      </c>
      <c r="N47" s="126">
        <f t="shared" si="23"/>
        <v>2.2976719843339963</v>
      </c>
      <c r="O47" s="126">
        <f t="shared" si="23"/>
        <v>2.3436254240206758</v>
      </c>
      <c r="P47" s="126">
        <f t="shared" si="23"/>
        <v>2.3904979325010896</v>
      </c>
      <c r="Q47" s="126">
        <f t="shared" si="23"/>
        <v>2.4383078911511111</v>
      </c>
      <c r="R47" s="126">
        <f t="shared" si="23"/>
        <v>2.487074048974133</v>
      </c>
      <c r="S47" s="126">
        <f t="shared" si="23"/>
        <v>2.5368155299536159</v>
      </c>
      <c r="T47" s="127">
        <f t="shared" si="23"/>
        <v>2.5875518405526883</v>
      </c>
      <c r="U47" s="128">
        <f t="shared" si="23"/>
        <v>2.6393028773637415</v>
      </c>
      <c r="V47" s="126">
        <f t="shared" si="23"/>
        <v>2.6920889349110171</v>
      </c>
      <c r="W47" s="126">
        <f t="shared" si="23"/>
        <v>2.7459307136092375</v>
      </c>
      <c r="X47" s="126">
        <f t="shared" si="23"/>
        <v>2.8008493278814219</v>
      </c>
      <c r="Y47" s="126">
        <f t="shared" si="23"/>
        <v>2.8568663144390509</v>
      </c>
      <c r="Z47" s="126">
        <f t="shared" si="23"/>
        <v>2.9140036407278314</v>
      </c>
      <c r="AA47" s="126">
        <f t="shared" si="23"/>
        <v>2.9722837135423879</v>
      </c>
      <c r="AB47" s="126">
        <f t="shared" si="23"/>
        <v>3.0317293878132356</v>
      </c>
      <c r="AC47" s="126">
        <f t="shared" si="23"/>
        <v>3.0923639755695</v>
      </c>
      <c r="AD47" s="126">
        <f t="shared" si="23"/>
        <v>3.1542112550808898</v>
      </c>
      <c r="AE47" s="126">
        <f t="shared" si="23"/>
        <v>3.2172954801825075</v>
      </c>
      <c r="AF47" s="126">
        <f>AF39/AF40</f>
        <v>3.2816413897861576</v>
      </c>
      <c r="AG47" s="126">
        <f>AG39/AG40</f>
        <v>3.3472742175818815</v>
      </c>
      <c r="AH47" s="126">
        <f>AH39/AH40</f>
        <v>3.4142197019335185</v>
      </c>
      <c r="AI47" s="129">
        <f>AI39/AI40</f>
        <v>3.4825040959721894</v>
      </c>
    </row>
    <row r="48" spans="2:35" x14ac:dyDescent="0.25">
      <c r="B48" s="140"/>
      <c r="C48" s="1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T48" s="65"/>
      <c r="U48" s="65"/>
    </row>
    <row r="49" spans="2:35" x14ac:dyDescent="0.25">
      <c r="B49" s="27"/>
    </row>
    <row r="50" spans="2:35" x14ac:dyDescent="0.25">
      <c r="B50" s="27" t="s">
        <v>84</v>
      </c>
      <c r="F50" s="130">
        <f>F43</f>
        <v>944.23382116318714</v>
      </c>
      <c r="G50" s="130">
        <f t="shared" ref="G50:AI50" si="24">G43+F50</f>
        <v>1936.7764366612039</v>
      </c>
      <c r="H50" s="130">
        <f t="shared" si="24"/>
        <v>2980.0994160965984</v>
      </c>
      <c r="I50" s="130">
        <f t="shared" si="24"/>
        <v>4076.8007792635321</v>
      </c>
      <c r="J50" s="130">
        <f>J43+I50</f>
        <v>5229.61146557957</v>
      </c>
      <c r="K50" s="130">
        <f t="shared" si="24"/>
        <v>6441.40213450588</v>
      </c>
      <c r="L50" s="130">
        <f t="shared" si="24"/>
        <v>7715.1903138898351</v>
      </c>
      <c r="M50" s="130">
        <f>M43+L50</f>
        <v>9054.1479140303909</v>
      </c>
      <c r="N50" s="130">
        <f>N43+M50</f>
        <v>10461.609126177309</v>
      </c>
      <c r="O50" s="130">
        <f t="shared" si="24"/>
        <v>11941.078725132587</v>
      </c>
      <c r="P50" s="130">
        <f t="shared" si="24"/>
        <v>13496.240796628745</v>
      </c>
      <c r="Q50" s="130">
        <f>Q43+P50</f>
        <v>15130.967911216332</v>
      </c>
      <c r="R50" s="130">
        <f t="shared" si="24"/>
        <v>16849.330767504951</v>
      </c>
      <c r="S50" s="130">
        <f t="shared" si="24"/>
        <v>18655.60832877077</v>
      </c>
      <c r="T50" s="130">
        <f t="shared" si="24"/>
        <v>20554.298478172139</v>
      </c>
      <c r="U50" s="130">
        <f t="shared" si="24"/>
        <v>22550.129219106231</v>
      </c>
      <c r="V50" s="130">
        <f t="shared" si="24"/>
        <v>24648.07044859722</v>
      </c>
      <c r="W50" s="130">
        <f t="shared" si="24"/>
        <v>26853.346333033303</v>
      </c>
      <c r="X50" s="130">
        <f t="shared" si="24"/>
        <v>29171.448317069953</v>
      </c>
      <c r="Y50" s="130">
        <f t="shared" si="24"/>
        <v>31608.148798093331</v>
      </c>
      <c r="Z50" s="130">
        <f t="shared" si="24"/>
        <v>34169.515500295194</v>
      </c>
      <c r="AA50" s="130">
        <f t="shared" si="24"/>
        <v>36861.926584152781</v>
      </c>
      <c r="AB50" s="130">
        <f t="shared" si="24"/>
        <v>39692.086528938336</v>
      </c>
      <c r="AC50" s="130">
        <f t="shared" si="24"/>
        <v>42667.042827807985</v>
      </c>
      <c r="AD50" s="130">
        <f t="shared" si="24"/>
        <v>45794.203537043024</v>
      </c>
      <c r="AE50" s="130">
        <f t="shared" si="24"/>
        <v>49081.355723143708</v>
      </c>
      <c r="AF50" s="130">
        <f t="shared" si="24"/>
        <v>52536.684853711391</v>
      </c>
      <c r="AG50" s="130">
        <f t="shared" si="24"/>
        <v>56168.795180404959</v>
      </c>
      <c r="AH50" s="130">
        <f t="shared" si="24"/>
        <v>59986.731164728015</v>
      </c>
      <c r="AI50" s="130">
        <f t="shared" si="24"/>
        <v>64000</v>
      </c>
    </row>
    <row r="51" spans="2:35" x14ac:dyDescent="0.25">
      <c r="B51" s="27" t="s">
        <v>85</v>
      </c>
      <c r="F51" s="131">
        <f>H4-F50</f>
        <v>63055.766178836813</v>
      </c>
      <c r="G51" s="131">
        <f>H4-G50</f>
        <v>62063.223563338797</v>
      </c>
      <c r="H51" s="131">
        <f>H4-H50</f>
        <v>61019.9005839034</v>
      </c>
      <c r="I51" s="131">
        <f>H4-I50</f>
        <v>59923.199220736467</v>
      </c>
      <c r="J51" s="131">
        <f>H4-J50</f>
        <v>58770.388534420432</v>
      </c>
      <c r="K51" s="131">
        <f>H4-K50</f>
        <v>57558.597865494121</v>
      </c>
      <c r="L51" s="131">
        <f>H4-L50</f>
        <v>56284.809686110166</v>
      </c>
      <c r="M51" s="131">
        <f>H4-M50</f>
        <v>54945.852085969607</v>
      </c>
      <c r="N51" s="131">
        <f>H4-N50</f>
        <v>53538.390873822689</v>
      </c>
      <c r="O51" s="131">
        <f>H4-O50</f>
        <v>52058.921274867411</v>
      </c>
      <c r="P51" s="131">
        <f>H4-P50</f>
        <v>50503.759203371257</v>
      </c>
      <c r="Q51" s="131">
        <f>H4-Q50</f>
        <v>48869.032088783671</v>
      </c>
      <c r="R51" s="131">
        <f>H4-R50</f>
        <v>47150.669232495049</v>
      </c>
      <c r="S51" s="131">
        <f>H4-S50</f>
        <v>45344.391671229227</v>
      </c>
      <c r="T51" s="131">
        <f>H4-T50</f>
        <v>43445.701521827861</v>
      </c>
      <c r="U51" s="131">
        <f>H4-U50</f>
        <v>41449.870780893769</v>
      </c>
      <c r="V51" s="131">
        <f>H4-V50</f>
        <v>39351.929551402776</v>
      </c>
      <c r="W51" s="131">
        <f>H4-W50</f>
        <v>37146.653666966697</v>
      </c>
      <c r="X51" s="131">
        <f>H4-X50</f>
        <v>34828.551682930047</v>
      </c>
      <c r="Y51" s="131">
        <f>H4-Y50</f>
        <v>32391.851201906669</v>
      </c>
      <c r="Z51" s="131">
        <f>H4-Z50</f>
        <v>29830.484499704806</v>
      </c>
      <c r="AA51" s="131">
        <f>H4-AA50</f>
        <v>27138.073415847219</v>
      </c>
      <c r="AB51" s="131">
        <f>H4-AB50</f>
        <v>24307.913471061664</v>
      </c>
      <c r="AC51" s="131">
        <f>H4-AC50</f>
        <v>21332.957172192015</v>
      </c>
      <c r="AD51" s="131">
        <f>H4-AD50</f>
        <v>18205.796462956976</v>
      </c>
      <c r="AE51" s="131">
        <f>H4-AE50</f>
        <v>14918.644276856292</v>
      </c>
      <c r="AF51" s="131">
        <f>H4-AF50</f>
        <v>11463.315146288609</v>
      </c>
      <c r="AG51" s="131">
        <f>H4-AG50</f>
        <v>7831.204819595041</v>
      </c>
      <c r="AH51" s="131">
        <f>H4-AH50</f>
        <v>4013.2688352719852</v>
      </c>
      <c r="AI51" s="131">
        <f>H4-AI50</f>
        <v>0</v>
      </c>
    </row>
    <row r="53" spans="2:35" x14ac:dyDescent="0.25">
      <c r="W53" s="65"/>
      <c r="X53" s="65"/>
    </row>
  </sheetData>
  <mergeCells count="38">
    <mergeCell ref="B4:C4"/>
    <mergeCell ref="J4:K4"/>
    <mergeCell ref="B2:D2"/>
    <mergeCell ref="F2:H2"/>
    <mergeCell ref="J2:L2"/>
    <mergeCell ref="B3:C3"/>
    <mergeCell ref="J3:K3"/>
    <mergeCell ref="B5:C5"/>
    <mergeCell ref="B6:C6"/>
    <mergeCell ref="J6:L6"/>
    <mergeCell ref="N6:P6"/>
    <mergeCell ref="B7:C7"/>
    <mergeCell ref="J7:K7"/>
    <mergeCell ref="N7:O7"/>
    <mergeCell ref="B27:C27"/>
    <mergeCell ref="B8:C8"/>
    <mergeCell ref="J8:K8"/>
    <mergeCell ref="N8:O8"/>
    <mergeCell ref="J9:K9"/>
    <mergeCell ref="N9:O9"/>
    <mergeCell ref="B12:D12"/>
    <mergeCell ref="B13:D13"/>
    <mergeCell ref="B23:C23"/>
    <mergeCell ref="B24:C24"/>
    <mergeCell ref="B25:C25"/>
    <mergeCell ref="B26:C26"/>
    <mergeCell ref="B48:C48"/>
    <mergeCell ref="B28:C28"/>
    <mergeCell ref="B29:C29"/>
    <mergeCell ref="B30:C30"/>
    <mergeCell ref="B31:C31"/>
    <mergeCell ref="B32:C32"/>
    <mergeCell ref="B38:C38"/>
    <mergeCell ref="B39:C39"/>
    <mergeCell ref="B40:C40"/>
    <mergeCell ref="B41:C41"/>
    <mergeCell ref="B43:C4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SFH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Scott</dc:creator>
  <cp:lastModifiedBy>Simi Khabra</cp:lastModifiedBy>
  <dcterms:created xsi:type="dcterms:W3CDTF">2010-06-16T04:46:04Z</dcterms:created>
  <dcterms:modified xsi:type="dcterms:W3CDTF">2011-10-05T01:44:18Z</dcterms:modified>
</cp:coreProperties>
</file>